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ecturing\AAT\AAT 03\Model Paper\Sinhala Medium\2025\2025 December\"/>
    </mc:Choice>
  </mc:AlternateContent>
  <xr:revisionPtr revIDLastSave="0" documentId="13_ncr:1_{53B174C6-034C-4523-B24F-318E9153E6E9}" xr6:coauthVersionLast="47" xr6:coauthVersionMax="47" xr10:uidLastSave="{00000000-0000-0000-0000-000000000000}"/>
  <bookViews>
    <workbookView xWindow="10140" yWindow="0" windowWidth="10455" windowHeight="10905" firstSheet="8" activeTab="11" xr2:uid="{0E61710E-B5D2-4C48-BB00-679257D61DA5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2" l="1"/>
  <c r="D7" i="12"/>
  <c r="C6" i="12"/>
  <c r="D7" i="11"/>
  <c r="C30" i="11"/>
  <c r="C20" i="11"/>
  <c r="B20" i="11"/>
  <c r="B21" i="11" s="1"/>
  <c r="C21" i="11"/>
  <c r="D15" i="11"/>
  <c r="D6" i="11" s="1"/>
  <c r="D3" i="10"/>
  <c r="D8" i="10"/>
  <c r="D7" i="10"/>
  <c r="C20" i="10"/>
  <c r="C21" i="10" s="1"/>
  <c r="B20" i="10"/>
  <c r="B21" i="10" s="1"/>
  <c r="D15" i="10"/>
  <c r="D6" i="10" s="1"/>
  <c r="D16" i="9"/>
  <c r="G20" i="9"/>
  <c r="G18" i="9"/>
  <c r="A13" i="9"/>
  <c r="D4" i="9"/>
  <c r="D8" i="9"/>
  <c r="B4" i="9"/>
  <c r="G8" i="9"/>
  <c r="G6" i="9"/>
  <c r="B17" i="8"/>
  <c r="B14" i="8"/>
  <c r="B11" i="8"/>
  <c r="B6" i="8"/>
  <c r="B5" i="8"/>
  <c r="F16" i="8"/>
  <c r="F15" i="8"/>
  <c r="E15" i="8"/>
  <c r="E14" i="8"/>
  <c r="F12" i="8"/>
  <c r="F10" i="8"/>
  <c r="F6" i="8"/>
  <c r="F5" i="8"/>
  <c r="C13" i="7"/>
  <c r="B11" i="7"/>
  <c r="B19" i="7"/>
  <c r="C11" i="7"/>
  <c r="C5" i="6"/>
  <c r="B5" i="6"/>
  <c r="C4" i="6"/>
  <c r="B4" i="6"/>
  <c r="B3" i="6"/>
  <c r="B19" i="6"/>
  <c r="C13" i="6"/>
  <c r="B11" i="6"/>
  <c r="C11" i="6" s="1"/>
  <c r="C14" i="6" s="1"/>
  <c r="D16" i="3"/>
  <c r="D15" i="3"/>
  <c r="D9" i="3"/>
  <c r="D31" i="3"/>
  <c r="D30" i="3"/>
  <c r="D25" i="3"/>
  <c r="D22" i="3"/>
  <c r="C30" i="3"/>
  <c r="C29" i="3"/>
  <c r="C28" i="3"/>
  <c r="C25" i="3"/>
  <c r="C22" i="3"/>
  <c r="C21" i="3"/>
  <c r="C20" i="3"/>
  <c r="C19" i="3"/>
  <c r="C15" i="3"/>
  <c r="C14" i="3"/>
  <c r="C13" i="3"/>
  <c r="C12" i="3"/>
  <c r="C9" i="3"/>
  <c r="C8" i="3"/>
  <c r="C7" i="3"/>
  <c r="B22" i="3"/>
  <c r="B20" i="3"/>
  <c r="B8" i="3"/>
  <c r="B29" i="3"/>
  <c r="H19" i="3"/>
  <c r="H16" i="3"/>
  <c r="B7" i="3"/>
  <c r="H13" i="3"/>
  <c r="H7" i="3"/>
  <c r="B19" i="3"/>
  <c r="H6" i="3"/>
  <c r="I6" i="3"/>
  <c r="G6" i="3"/>
  <c r="H5" i="3"/>
  <c r="B18" i="2"/>
  <c r="F3" i="2"/>
  <c r="B17" i="2"/>
  <c r="F13" i="2"/>
  <c r="B31" i="2"/>
  <c r="C32" i="2" s="1"/>
  <c r="F18" i="2"/>
  <c r="B24" i="2"/>
  <c r="F24" i="2"/>
  <c r="B12" i="2"/>
  <c r="H29" i="2"/>
  <c r="B11" i="2"/>
  <c r="B19" i="2"/>
  <c r="F38" i="2"/>
  <c r="B16" i="2"/>
  <c r="B15" i="2"/>
  <c r="B14" i="2"/>
  <c r="F19" i="2"/>
  <c r="H18" i="2"/>
  <c r="H9" i="2"/>
  <c r="B7" i="2"/>
  <c r="C26" i="2"/>
  <c r="C35" i="1"/>
  <c r="C33" i="1"/>
  <c r="C32" i="1"/>
  <c r="C26" i="1"/>
  <c r="C20" i="1"/>
  <c r="B18" i="1"/>
  <c r="F3" i="1"/>
  <c r="B31" i="1"/>
  <c r="F9" i="1"/>
  <c r="B24" i="1"/>
  <c r="F14" i="1"/>
  <c r="B12" i="1"/>
  <c r="H19" i="1"/>
  <c r="B11" i="1"/>
  <c r="F24" i="1"/>
  <c r="F28" i="1"/>
  <c r="F33" i="1"/>
  <c r="F38" i="1"/>
  <c r="B16" i="1"/>
  <c r="B15" i="1"/>
  <c r="B14" i="1"/>
  <c r="F34" i="1"/>
  <c r="H33" i="1"/>
  <c r="B7" i="1"/>
  <c r="D21" i="11" l="1"/>
  <c r="D23" i="11" s="1"/>
  <c r="B27" i="11" s="1"/>
  <c r="D8" i="11" s="1"/>
  <c r="D3" i="11"/>
  <c r="D21" i="10"/>
  <c r="D23" i="10" s="1"/>
  <c r="B27" i="10" s="1"/>
  <c r="C30" i="10" s="1"/>
  <c r="C14" i="7"/>
  <c r="B20" i="7"/>
  <c r="B20" i="6"/>
  <c r="B21" i="6"/>
  <c r="C20" i="2"/>
  <c r="C33" i="2" s="1"/>
  <c r="C35" i="2" s="1"/>
  <c r="B21" i="7" l="1"/>
  <c r="C20" i="7"/>
  <c r="D20" i="7" s="1"/>
  <c r="C19" i="6"/>
  <c r="D19" i="6" s="1"/>
  <c r="D21" i="6"/>
  <c r="C20" i="6"/>
  <c r="D20" i="6" s="1"/>
  <c r="C4" i="7" l="1"/>
  <c r="C5" i="7" s="1"/>
  <c r="B4" i="7"/>
  <c r="D21" i="7"/>
  <c r="C19" i="7"/>
  <c r="D19" i="7" s="1"/>
  <c r="B3" i="7" s="1"/>
  <c r="B5" i="7" l="1"/>
</calcChain>
</file>

<file path=xl/sharedStrings.xml><?xml version="1.0" encoding="utf-8"?>
<sst xmlns="http://schemas.openxmlformats.org/spreadsheetml/2006/main" count="376" uniqueCount="222">
  <si>
    <t>සීමාසහිත චෙමිරෝ සමාගම</t>
  </si>
  <si>
    <t>2025 මාර්තු 31න් අවසන් වර්ෂය සඳහා</t>
  </si>
  <si>
    <t>මුදල් ප්‍රවාහ ප්‍රකාශය</t>
  </si>
  <si>
    <t>රු. 000'</t>
  </si>
  <si>
    <t>මෙහෙයුම් ක්‍රියාකාරකම්</t>
  </si>
  <si>
    <t>බදු පෙර ලාභය</t>
  </si>
  <si>
    <t>+/- ගැලපුම්</t>
  </si>
  <si>
    <t>කාරක ප්‍රාග්ධන ගැලපුම්</t>
  </si>
  <si>
    <t>(-) පොළී ගෙවීම්</t>
  </si>
  <si>
    <t>(-) බදු ගෙවීම්</t>
  </si>
  <si>
    <t>(-) පාරිතෝෂික ගෙවීම්</t>
  </si>
  <si>
    <t>මෙහෙයුම් ශුද්ධ මුදල්</t>
  </si>
  <si>
    <t>ආයෝජන ක්‍රියාකාරකම්</t>
  </si>
  <si>
    <t>ආයෝජන ශුද්ධ මුදල්</t>
  </si>
  <si>
    <t>මූල්‍ය ක්‍රියාකාරකම්</t>
  </si>
  <si>
    <t>මූල්‍ය ශුද්ධ මුදල්</t>
  </si>
  <si>
    <t>වසරේ ශුද්ධ මුදල් ප්‍රවාහය</t>
  </si>
  <si>
    <t>ආරම්භක මුදල් මුදල් සමාන දෑ</t>
  </si>
  <si>
    <t>අවසාන මුදල් මුදල් සමාන දෑ</t>
  </si>
  <si>
    <t>පෙරවැඩ</t>
  </si>
  <si>
    <t>ගෙවිය යුතු ආදායම් බදු</t>
  </si>
  <si>
    <t>ආර. ශේෂ</t>
  </si>
  <si>
    <t>අව. ශේෂ</t>
  </si>
  <si>
    <t>රඳවාගත් ඉපැයුම්</t>
  </si>
  <si>
    <t>ආදායම් බදු</t>
  </si>
  <si>
    <t>බදු වියදම</t>
  </si>
  <si>
    <t>බදු පෙර ලාභය (23,437-8100)</t>
  </si>
  <si>
    <t>දේපළ පිරියත උපකරණ</t>
  </si>
  <si>
    <t>සමුච්චිත ක්ෂය</t>
  </si>
  <si>
    <t>යන්ත්‍ර ඉවත්කිරීම් ලාභාලාභ</t>
  </si>
  <si>
    <t>යන්ත්‍ර විකිණීම</t>
  </si>
  <si>
    <t xml:space="preserve">මුදල් </t>
  </si>
  <si>
    <t>ඉවත්කිරීම්</t>
  </si>
  <si>
    <t>යන්ත්‍ර</t>
  </si>
  <si>
    <t>සමුච්. ක්ෂය</t>
  </si>
  <si>
    <t>ඉවත්කිරීම</t>
  </si>
  <si>
    <t>ගෙවිය යුතු පොළී</t>
  </si>
  <si>
    <t>පොළී වියදම</t>
  </si>
  <si>
    <t>(-)</t>
  </si>
  <si>
    <t>බැංකු ණය</t>
  </si>
  <si>
    <t>බැංකු ණය ගැනීම්</t>
  </si>
  <si>
    <t>මුදල්</t>
  </si>
  <si>
    <t>පාරිතෝෂික</t>
  </si>
  <si>
    <t>පාරිතෝෂික වියදම</t>
  </si>
  <si>
    <t xml:space="preserve">පාරිතෝෂික </t>
  </si>
  <si>
    <t>තොග අඩුවීම</t>
  </si>
  <si>
    <t>ණයගැති වැඩිවීම</t>
  </si>
  <si>
    <t>ණයහිමි වැඩිවීම</t>
  </si>
  <si>
    <t>බැංකු ණය ගෙවීම්</t>
  </si>
  <si>
    <t>පොළී ගෙවීම්</t>
  </si>
  <si>
    <t>ලාභලාභ</t>
  </si>
  <si>
    <t>(-) +</t>
  </si>
  <si>
    <t>යන්ත්‍ර ඉවත්කිරීම් ලාභ</t>
  </si>
  <si>
    <t>ක්ෂය</t>
  </si>
  <si>
    <t>යන්‍ත්‍ර මිලදී ගැනීම</t>
  </si>
  <si>
    <t>ලාභංශ</t>
  </si>
  <si>
    <t>ලාභාංශ ගෙවීම</t>
  </si>
  <si>
    <t>සීමාසහිත සූර්‍යා සමාගම</t>
  </si>
  <si>
    <t>2024 මාර්තු 31න් අවසන් වර්ෂය සඳහා</t>
  </si>
  <si>
    <t>බදු පෙර ලාභය 2730</t>
  </si>
  <si>
    <t>ණය මුදල් ලැබීම</t>
  </si>
  <si>
    <t>ඉවත්‍කිරීම</t>
  </si>
  <si>
    <t>සමු ක්ෂය</t>
  </si>
  <si>
    <t>ලාභාංශ</t>
  </si>
  <si>
    <t>තොග වැඩිවීම</t>
  </si>
  <si>
    <t>ණයගැති අඩුවීම</t>
  </si>
  <si>
    <t>ණයහිමි අඩුවීම</t>
  </si>
  <si>
    <t>ලාභාලාභ</t>
  </si>
  <si>
    <t>ඉවත්කිරීම් ලාභ</t>
  </si>
  <si>
    <t>යන්ත්‍ර මිලදී ගැනීම</t>
  </si>
  <si>
    <t>ණය ගෙවීම</t>
  </si>
  <si>
    <t>සීමාසහිත Enrich සමූහය</t>
  </si>
  <si>
    <t>2024 මාර්තු 31 දිනට</t>
  </si>
  <si>
    <t>ඒකාබද්ධ මූල්‍ය‍ තත්ව ප්‍රකාශය</t>
  </si>
  <si>
    <t>ජංගම නොවන වත්කම්</t>
  </si>
  <si>
    <t>පරිපාලිතයේ ආයෝජනය</t>
  </si>
  <si>
    <t>ජංගම වත්කම්</t>
  </si>
  <si>
    <t>තොගය</t>
  </si>
  <si>
    <t>වෙළඳ සහ අනිකුත් ලැබිය යුතු</t>
  </si>
  <si>
    <t>පරිපාලිත සමාගමින් ලැබිය යුතු</t>
  </si>
  <si>
    <t>මුදල් මුදල් සමාන දෑ</t>
  </si>
  <si>
    <t>මුළු වත්කම්</t>
  </si>
  <si>
    <t>හිමිකම්</t>
  </si>
  <si>
    <t>ප්‍රකාශිත ප්‍රාග්ධනය</t>
  </si>
  <si>
    <t>රඳවාගත් ඉපැයීම්</t>
  </si>
  <si>
    <t>පරිපාලක සමාගමේ කොටස් හිමියන් සතු හිමිකම</t>
  </si>
  <si>
    <t xml:space="preserve"> පාලනය නොවන හිමිකම</t>
  </si>
  <si>
    <t>ජංගම නොවන වගකීම්</t>
  </si>
  <si>
    <t>සේවක ප්‍රතිලාභ</t>
  </si>
  <si>
    <t>ජංගම වගකීම්</t>
  </si>
  <si>
    <t>වෙළඳ ගෙවිය යුතු මුදල්</t>
  </si>
  <si>
    <t>පරිපාලක සමාගමට ගෙවිය යුතු මුදල</t>
  </si>
  <si>
    <t>පෙර වැඩ</t>
  </si>
  <si>
    <t>කීර්තිනාමය (ආයෝජ + පානොහි -පරිපාලි හිමිකම)</t>
  </si>
  <si>
    <t>අත්පත්</t>
  </si>
  <si>
    <t>පසු</t>
  </si>
  <si>
    <t xml:space="preserve">වාර්තාකරණ </t>
  </si>
  <si>
    <t>පරිපාලිත හිමිකම්</t>
  </si>
  <si>
    <t>ප්‍රාග්ධනය</t>
  </si>
  <si>
    <t>උපලබ්ධි නොවූ ලාභ මත ක්ෂය</t>
  </si>
  <si>
    <t>උපලබ්ධි නොවූ ලාභය</t>
  </si>
  <si>
    <t>ජීව කාලය</t>
  </si>
  <si>
    <t>භාවිතා කළ කාලය</t>
  </si>
  <si>
    <t>අධි ක්ෂය</t>
  </si>
  <si>
    <t>තොග මත උපලබ්ධි නොවූ ලාභය</t>
  </si>
  <si>
    <t>පිරිවැය මත ලාභය</t>
  </si>
  <si>
    <t>වි.මිල = පිරි + ලාභය, 120 = 100 + 20</t>
  </si>
  <si>
    <t>ප්‍රශ්න 05</t>
  </si>
  <si>
    <t>1. වෙළඳපොළ සමීක්ෂණය</t>
  </si>
  <si>
    <t>අස්පෘශ්‍ය වත්කම් ප්‍රමිතයට අනුව පර්‍යෙෂණ සඳහා දරණ වියදම් ප්‍රාග්ධනිත කළ නොහැක. එයට හේතුව එය තුලින් ආර්ථික වටිනාකමක් ජනිත නොවන බැවිනි.</t>
  </si>
  <si>
    <t>2. පේටන්ට් අයිතිය</t>
  </si>
  <si>
    <t>පේටන්ට් අයිතිය තුලින් ආර්ථික ප්‍රතිලාභ ජනනය කළ හැකි බැවින්, එම වියදම ප්‍රාග්ධනිත කළ හැකිය.</t>
  </si>
  <si>
    <t>3. පුහුණු වියදම</t>
  </si>
  <si>
    <t>මානව සම්පත පාලනය කළ නොහැකි බැවින්, එම පුහුණු වියදම ප්‍රාග්ධනිත කළ නොහැක.</t>
  </si>
  <si>
    <t>ප්‍රශ්නය 06</t>
  </si>
  <si>
    <t>1. අසම්භාව්‍ය වගකීම</t>
  </si>
  <si>
    <t>වන්දි ඉල්ලා පවරා ඇති නඩුව අසම්භාව්‍ය වගකීමකි. එහි ස්වාභාවය සහ මූල්‍ය බලපෑම මූල්‍ය ප්‍රකාශ තුල හෙළිදරව් කළ යුතුය.</t>
  </si>
  <si>
    <t>2. අවසාන ලාභාංශ</t>
  </si>
  <si>
    <t xml:space="preserve">මූල්‍ය වාර්තාකරණ කාල පරිච්ඡේදයට පසු සිදුවීම් ප්‍රමිතයට අනුව, සාමාන්‍ය කොටස් අවසාන ලාභාංශ ගිණුම් තැබිය නොහැක. කොටසක ලාභාංශය, මුළු ලාභාංශ, අධ්‍යක්ෂ මණ්ඩලය අනුමත කළ දිනය හෙළි දරව් කළ යුතුය. </t>
  </si>
  <si>
    <t>3. ඉඩ නොදුන් වියදම්</t>
  </si>
  <si>
    <t>දේශීය ආදායම් දෙපාර්තමේන්තුව විසින් ඉඩ නොදෙන රු. මිලියන 1.5හි බදු බලපෑම (1,500,000 * 30%), සඳහා ප්‍රතිපාදනයක් වෙන් කළ යුතුය.</t>
  </si>
  <si>
    <t>ප්‍රශ්න 07</t>
  </si>
  <si>
    <t>25/3/31</t>
  </si>
  <si>
    <t>26/3/31</t>
  </si>
  <si>
    <t>අයභාරය</t>
  </si>
  <si>
    <t>තනි විකුණුම් මිල</t>
  </si>
  <si>
    <t>වායු සමීකරණ යන්ත්‍ර</t>
  </si>
  <si>
    <t>නඩත්තුව (8,000 * 24)</t>
  </si>
  <si>
    <t>ගනුදෙනු මිල (22,000*24)</t>
  </si>
  <si>
    <t>වට්ටම</t>
  </si>
  <si>
    <t>වට්ටම බෙදීම</t>
  </si>
  <si>
    <t>කාර්‍ය සාධන බැඳීම්</t>
  </si>
  <si>
    <t xml:space="preserve">නඩත්තුව </t>
  </si>
  <si>
    <t>වට්ටමට පෙර</t>
  </si>
  <si>
    <t>වට්ටමට පසු</t>
  </si>
  <si>
    <t>ආදායම හඳුනාගැනීම</t>
  </si>
  <si>
    <t>පාරිභෝගිකයා පිළිගත් පසු</t>
  </si>
  <si>
    <t>සේවා කාලය (අවු 2) පුරාවට</t>
  </si>
  <si>
    <t>ප්‍රශ්න 08</t>
  </si>
  <si>
    <t xml:space="preserve">ගනුදෙනු මිල </t>
  </si>
  <si>
    <t>24/3/31</t>
  </si>
  <si>
    <t>ප්‍රශ්න 09</t>
  </si>
  <si>
    <t>ආදායම් ප්‍රකාශන උපුටාගැනීම</t>
  </si>
  <si>
    <t>භාවිත අයිතිය සහිත වත්කමේ ක්ෂය</t>
  </si>
  <si>
    <t>කල්බදු පොළිය</t>
  </si>
  <si>
    <t>මූල්‍ය තත්ත්ව ප්‍රකාශ උපුටාගැනීම</t>
  </si>
  <si>
    <t>භාවිත අයිතිය සහිත වත්කම</t>
  </si>
  <si>
    <t>කල්බදු වගකීම</t>
  </si>
  <si>
    <t>ජංගම වගකීම</t>
  </si>
  <si>
    <t>යන්ත්‍රයේ පිරිවැය</t>
  </si>
  <si>
    <t>(මූලික ගෙවීම 1,000 + කල්බදු පහසුකම 6,000)</t>
  </si>
  <si>
    <t>කල්බදු පහසුකම</t>
  </si>
  <si>
    <t>(-) සමුච්චිත ක්ෂය</t>
  </si>
  <si>
    <t>7000/4</t>
  </si>
  <si>
    <t>ශුද්ධ පොත් අගය</t>
  </si>
  <si>
    <t>+ කල්බදු පොළිය</t>
  </si>
  <si>
    <t>6,000 * 14%</t>
  </si>
  <si>
    <t>(-) කල්බදු වාරිකය</t>
  </si>
  <si>
    <t>අවසාන වගකීම</t>
  </si>
  <si>
    <t>ඊළඟ වාරිකය</t>
  </si>
  <si>
    <t>(-) ඊළඟ වාරිකය තුල ඇති පොළිය</t>
  </si>
  <si>
    <t>4,780,771 * 14%</t>
  </si>
  <si>
    <t>ජංගම නොවන වගකීම</t>
  </si>
  <si>
    <t>ප්‍රශ්න 10</t>
  </si>
  <si>
    <t xml:space="preserve">ලැබිය යුතු කල්බදු </t>
  </si>
  <si>
    <t>නොඉපයූ මූල්‍ය ආදායම්</t>
  </si>
  <si>
    <t>කල්බදු පොළී ආදායම</t>
  </si>
  <si>
    <t>ලැබිය යුතු කල්බදු</t>
  </si>
  <si>
    <t>කල්බදු වාරිකය</t>
  </si>
  <si>
    <t>නොඉපයූ මූල්‍ය ආදයම</t>
  </si>
  <si>
    <t>වාරික ගණන</t>
  </si>
  <si>
    <t>මුළු කල්බද්ද</t>
  </si>
  <si>
    <t>මුළු පොළිය</t>
  </si>
  <si>
    <t>නොඉපයූ මූල්‍ය ආදායම</t>
  </si>
  <si>
    <t>ලැබිය යුතු කල්බදු හර</t>
  </si>
  <si>
    <t>නොඉපයූ මූල්‍ය ආදායම බැර</t>
  </si>
  <si>
    <t>නොඉපයූ කල්බදු</t>
  </si>
  <si>
    <t>කල්බදු වාරික ලැබීම</t>
  </si>
  <si>
    <t>මුදල් හර</t>
  </si>
  <si>
    <t>ලැබිය යුතු කල්බදු බැර</t>
  </si>
  <si>
    <t>පොළී අනුපාතය</t>
  </si>
  <si>
    <t>පොළී ආදායම</t>
  </si>
  <si>
    <t>නොඉපයූ මූල්‍ය‍ ආදායම හර</t>
  </si>
  <si>
    <t>කල්බදු පොළී ආදායම බැර</t>
  </si>
  <si>
    <t>නොඉපයූ මූල්‍ය‍ ආදායම</t>
  </si>
  <si>
    <t>ප්‍රශ්න 11</t>
  </si>
  <si>
    <t>25 මාර්තු 31 දිනට විලම්භීත බදු වගකීම</t>
  </si>
  <si>
    <t>24/25 වර්ෂය සඳහා බදු වියදම</t>
  </si>
  <si>
    <t>ප්‍රවර්තන බද්ද</t>
  </si>
  <si>
    <t>විලම්භීත බද්ද</t>
  </si>
  <si>
    <t>බදු අය කළ හැකි ලාභය</t>
  </si>
  <si>
    <t>බදු අනුපාතය</t>
  </si>
  <si>
    <t>ඉඩම</t>
  </si>
  <si>
    <t>ගොඩනැගිල්ල</t>
  </si>
  <si>
    <t>එකතුව</t>
  </si>
  <si>
    <t>ගිණුම්කරණ ධාරණ අගය</t>
  </si>
  <si>
    <t>(-) බදු පදනම</t>
  </si>
  <si>
    <t>ගිණුම්කරණ ධාරණ අගය යනු වත්කමක පිරිවැයෙන් සමුච්චිත ක්ෂය අඩු කළ පසු අගය. (අනාගත ක්ෂය)</t>
  </si>
  <si>
    <t>වත්කමක බදු පදනම යනු එහි පිරිවැයෙන් සමුච්චිත ප්‍රාග්ධන දීමනා අඩු කළ පසු අගයයි. එනම් අනාගත ප්‍රාග්ධන දීමන වේඅ)</t>
  </si>
  <si>
    <t>තාවකාලික වෙනස්කම</t>
  </si>
  <si>
    <t>බදුවන තාවකාලික වෙනස්කම්</t>
  </si>
  <si>
    <t>අවසාන විලම්භීත බදු වගකීම</t>
  </si>
  <si>
    <t>විලම්භීත බදු වගකීම</t>
  </si>
  <si>
    <t>ආර. ශේෂය</t>
  </si>
  <si>
    <t>අවසාන ශේෂය</t>
  </si>
  <si>
    <t>විලම්භීත බදු වගකීම අඩුවීම</t>
  </si>
  <si>
    <t>විලම්භීත බදු වගකීම හර</t>
  </si>
  <si>
    <t>විලම්භීත බදු වියදම බැර</t>
  </si>
  <si>
    <t>විලම්භීත බදු වියදම</t>
  </si>
  <si>
    <t>24 මාර්තු 31 දිනට විලම්භීත බදු වගකීම</t>
  </si>
  <si>
    <t>23/24 වර්ෂය සඳහා බදු වියදම</t>
  </si>
  <si>
    <t>මෝටර් රථය</t>
  </si>
  <si>
    <t>විලම්භීත බදු වගකීම වැඩිවීම</t>
  </si>
  <si>
    <t>විලම්භීත බදු වියදම හර</t>
  </si>
  <si>
    <t>විලම්භීත බදු වගකීම බැර</t>
  </si>
  <si>
    <t>ප්‍රශ්න 14</t>
  </si>
  <si>
    <t>ධාරණ අගය</t>
  </si>
  <si>
    <t>පිරිවැය</t>
  </si>
  <si>
    <t>නැවත අය කරගත හැකි අගය</t>
  </si>
  <si>
    <t>ඉවත්කිරීමේ වියදම් අඩු කළ පසු සාධාරණ වටිනාකම</t>
  </si>
  <si>
    <t>භාවිතයට ගැනීමේ අගය</t>
  </si>
  <si>
    <t>හානිකරණ අලාභය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</si>
</sst>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164" fontId="0" fillId="0" borderId="0" xfId="1" quotePrefix="1" applyNumberFormat="1" applyFont="1"/>
    <xf numFmtId="164" fontId="2" fillId="0" borderId="2" xfId="1" applyNumberFormat="1" applyFont="1" applyBorder="1"/>
    <xf numFmtId="164" fontId="0" fillId="0" borderId="3" xfId="1" applyNumberFormat="1" applyFont="1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164" fontId="0" fillId="0" borderId="6" xfId="1" applyNumberFormat="1" applyFont="1" applyBorder="1"/>
    <xf numFmtId="164" fontId="0" fillId="0" borderId="5" xfId="1" quotePrefix="1" applyNumberFormat="1" applyFont="1" applyBorder="1"/>
    <xf numFmtId="164" fontId="2" fillId="0" borderId="5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164" fontId="0" fillId="0" borderId="11" xfId="1" applyNumberFormat="1" applyFont="1" applyBorder="1"/>
    <xf numFmtId="164" fontId="0" fillId="0" borderId="12" xfId="1" applyNumberFormat="1" applyFont="1" applyBorder="1"/>
    <xf numFmtId="164" fontId="0" fillId="2" borderId="0" xfId="1" applyNumberFormat="1" applyFont="1" applyFill="1"/>
    <xf numFmtId="164" fontId="0" fillId="0" borderId="1" xfId="1" applyNumberFormat="1" applyFont="1" applyBorder="1"/>
    <xf numFmtId="164" fontId="0" fillId="3" borderId="11" xfId="1" applyNumberFormat="1" applyFont="1" applyFill="1" applyBorder="1"/>
    <xf numFmtId="164" fontId="0" fillId="3" borderId="0" xfId="1" applyNumberFormat="1" applyFont="1" applyFill="1"/>
    <xf numFmtId="0" fontId="2" fillId="0" borderId="2" xfId="0" applyFont="1" applyBorder="1"/>
    <xf numFmtId="0" fontId="0" fillId="0" borderId="5" xfId="0" applyBorder="1"/>
    <xf numFmtId="0" fontId="2" fillId="0" borderId="5" xfId="0" applyFont="1" applyBorder="1"/>
    <xf numFmtId="0" fontId="0" fillId="0" borderId="7" xfId="0" applyBorder="1"/>
    <xf numFmtId="9" fontId="0" fillId="0" borderId="0" xfId="2" applyFont="1"/>
    <xf numFmtId="164" fontId="0" fillId="0" borderId="13" xfId="1" applyNumberFormat="1" applyFont="1" applyBorder="1"/>
    <xf numFmtId="164" fontId="0" fillId="0" borderId="14" xfId="1" applyNumberFormat="1" applyFont="1" applyBorder="1"/>
    <xf numFmtId="164" fontId="0" fillId="0" borderId="8" xfId="1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164" fontId="0" fillId="4" borderId="0" xfId="1" applyNumberFormat="1" applyFont="1" applyFill="1"/>
    <xf numFmtId="164" fontId="0" fillId="4" borderId="3" xfId="1" applyNumberFormat="1" applyFont="1" applyFill="1" applyBorder="1"/>
    <xf numFmtId="164" fontId="0" fillId="0" borderId="2" xfId="1" applyNumberFormat="1" applyFont="1" applyBorder="1"/>
    <xf numFmtId="164" fontId="1" fillId="0" borderId="0" xfId="1" applyNumberFormat="1" applyFont="1"/>
    <xf numFmtId="164" fontId="2" fillId="0" borderId="8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9" fontId="0" fillId="0" borderId="0" xfId="2" applyFont="1" applyBorder="1"/>
    <xf numFmtId="164" fontId="0" fillId="0" borderId="15" xfId="1" applyNumberFormat="1" applyFont="1" applyBorder="1"/>
    <xf numFmtId="164" fontId="0" fillId="0" borderId="16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B4C4B-28C8-48EA-B8B0-9C59DEF2AABB}">
  <dimension ref="A1:H40"/>
  <sheetViews>
    <sheetView topLeftCell="A22" zoomScale="110" zoomScaleNormal="110" workbookViewId="0">
      <selection activeCell="C30" sqref="A1:XFD1048576"/>
    </sheetView>
  </sheetViews>
  <sheetFormatPr defaultRowHeight="15" x14ac:dyDescent="0.25"/>
  <cols>
    <col min="1" max="1" width="21.140625" style="1" customWidth="1"/>
    <col min="2" max="3" width="9.140625" style="1"/>
    <col min="4" max="4" width="1.28515625" style="18" customWidth="1"/>
    <col min="5" max="5" width="13.28515625" style="1" customWidth="1"/>
    <col min="6" max="6" width="9.140625" style="1"/>
    <col min="7" max="7" width="11.28515625" style="1" customWidth="1"/>
    <col min="8" max="16384" width="9.140625" style="1"/>
  </cols>
  <sheetData>
    <row r="1" spans="1:8" x14ac:dyDescent="0.25">
      <c r="A1" s="1" t="s">
        <v>0</v>
      </c>
      <c r="E1" s="2" t="s">
        <v>19</v>
      </c>
    </row>
    <row r="2" spans="1:8" x14ac:dyDescent="0.25">
      <c r="A2" s="1" t="s">
        <v>1</v>
      </c>
      <c r="E2" s="29" t="s">
        <v>20</v>
      </c>
      <c r="F2" s="29"/>
      <c r="G2" s="29"/>
      <c r="H2" s="29"/>
    </row>
    <row r="3" spans="1:8" x14ac:dyDescent="0.25">
      <c r="A3" s="1" t="s">
        <v>2</v>
      </c>
      <c r="E3" s="5" t="s">
        <v>41</v>
      </c>
      <c r="F3" s="6">
        <f>H3+H4-F4</f>
        <v>5800</v>
      </c>
      <c r="G3" s="5" t="s">
        <v>21</v>
      </c>
      <c r="H3" s="5">
        <v>5640</v>
      </c>
    </row>
    <row r="4" spans="1:8" x14ac:dyDescent="0.25">
      <c r="A4" s="1" t="s">
        <v>3</v>
      </c>
      <c r="E4" s="1" t="s">
        <v>22</v>
      </c>
      <c r="F4" s="9">
        <v>3240</v>
      </c>
      <c r="G4" s="1" t="s">
        <v>24</v>
      </c>
      <c r="H4" s="1">
        <v>3400</v>
      </c>
    </row>
    <row r="5" spans="1:8" x14ac:dyDescent="0.25">
      <c r="B5" s="1" t="s">
        <v>51</v>
      </c>
      <c r="F5" s="9"/>
    </row>
    <row r="6" spans="1:8" x14ac:dyDescent="0.25">
      <c r="A6" s="4" t="s">
        <v>4</v>
      </c>
      <c r="B6" s="15"/>
      <c r="C6" s="6"/>
    </row>
    <row r="7" spans="1:8" x14ac:dyDescent="0.25">
      <c r="A7" s="7" t="s">
        <v>26</v>
      </c>
      <c r="B7" s="16">
        <f>23437-8100</f>
        <v>15337</v>
      </c>
      <c r="C7" s="9"/>
      <c r="E7" s="29" t="s">
        <v>23</v>
      </c>
      <c r="F7" s="29"/>
      <c r="G7" s="29"/>
      <c r="H7" s="29"/>
    </row>
    <row r="8" spans="1:8" x14ac:dyDescent="0.25">
      <c r="A8" s="10" t="s">
        <v>6</v>
      </c>
      <c r="B8" s="16"/>
      <c r="C8" s="9"/>
      <c r="E8" s="5" t="s">
        <v>25</v>
      </c>
      <c r="F8" s="6">
        <v>3400</v>
      </c>
      <c r="G8" s="5" t="s">
        <v>21</v>
      </c>
      <c r="H8" s="5">
        <v>114939</v>
      </c>
    </row>
    <row r="9" spans="1:8" x14ac:dyDescent="0.25">
      <c r="A9" s="7" t="s">
        <v>37</v>
      </c>
      <c r="B9" s="16">
        <v>8100</v>
      </c>
      <c r="C9" s="9"/>
      <c r="E9" s="1" t="s">
        <v>55</v>
      </c>
      <c r="F9" s="9">
        <f>H8+H9-F8-F10</f>
        <v>1280</v>
      </c>
      <c r="G9" s="1" t="s">
        <v>5</v>
      </c>
      <c r="H9" s="1">
        <v>15337</v>
      </c>
    </row>
    <row r="10" spans="1:8" x14ac:dyDescent="0.25">
      <c r="A10" s="7" t="s">
        <v>43</v>
      </c>
      <c r="B10" s="16">
        <v>1750</v>
      </c>
      <c r="C10" s="9"/>
      <c r="E10" s="1" t="s">
        <v>22</v>
      </c>
      <c r="F10" s="9">
        <v>125596</v>
      </c>
    </row>
    <row r="11" spans="1:8" x14ac:dyDescent="0.25">
      <c r="A11" s="7" t="s">
        <v>52</v>
      </c>
      <c r="B11" s="16">
        <f>-F24</f>
        <v>-2750</v>
      </c>
      <c r="C11" s="9"/>
    </row>
    <row r="12" spans="1:8" x14ac:dyDescent="0.25">
      <c r="A12" s="7" t="s">
        <v>53</v>
      </c>
      <c r="B12" s="16">
        <f>H19</f>
        <v>35890</v>
      </c>
      <c r="C12" s="9"/>
      <c r="E12" s="29" t="s">
        <v>27</v>
      </c>
      <c r="F12" s="29"/>
      <c r="G12" s="29"/>
      <c r="H12" s="29"/>
    </row>
    <row r="13" spans="1:8" x14ac:dyDescent="0.25">
      <c r="A13" s="7" t="s">
        <v>7</v>
      </c>
      <c r="B13" s="16"/>
      <c r="C13" s="9"/>
      <c r="E13" s="5" t="s">
        <v>21</v>
      </c>
      <c r="F13" s="6">
        <v>156930</v>
      </c>
      <c r="G13" s="5" t="s">
        <v>32</v>
      </c>
      <c r="H13" s="5">
        <v>15000</v>
      </c>
    </row>
    <row r="14" spans="1:8" x14ac:dyDescent="0.25">
      <c r="A14" s="7" t="s">
        <v>45</v>
      </c>
      <c r="B14" s="16">
        <f>157439-106420</f>
        <v>51019</v>
      </c>
      <c r="C14" s="9"/>
      <c r="E14" s="1" t="s">
        <v>41</v>
      </c>
      <c r="F14" s="9">
        <f>H13+H14-F13</f>
        <v>78470</v>
      </c>
      <c r="G14" s="1" t="s">
        <v>22</v>
      </c>
      <c r="H14" s="1">
        <v>220400</v>
      </c>
    </row>
    <row r="15" spans="1:8" x14ac:dyDescent="0.25">
      <c r="A15" s="7" t="s">
        <v>46</v>
      </c>
      <c r="B15" s="16">
        <f>(97830-110426)</f>
        <v>-12596</v>
      </c>
      <c r="C15" s="9"/>
      <c r="F15" s="9"/>
    </row>
    <row r="16" spans="1:8" x14ac:dyDescent="0.25">
      <c r="A16" s="7" t="s">
        <v>47</v>
      </c>
      <c r="B16" s="16">
        <f>5400-420</f>
        <v>4980</v>
      </c>
      <c r="C16" s="9"/>
    </row>
    <row r="17" spans="1:8" x14ac:dyDescent="0.25">
      <c r="A17" s="7" t="s">
        <v>8</v>
      </c>
      <c r="B17" s="16">
        <v>-1710</v>
      </c>
      <c r="C17" s="9"/>
      <c r="E17" s="29" t="s">
        <v>28</v>
      </c>
      <c r="F17" s="29"/>
      <c r="G17" s="29"/>
      <c r="H17" s="29"/>
    </row>
    <row r="18" spans="1:8" x14ac:dyDescent="0.25">
      <c r="A18" s="7" t="s">
        <v>9</v>
      </c>
      <c r="B18" s="16">
        <f>-F3</f>
        <v>-5800</v>
      </c>
      <c r="C18" s="9"/>
      <c r="E18" s="5" t="s">
        <v>35</v>
      </c>
      <c r="F18" s="6">
        <v>8250</v>
      </c>
      <c r="G18" s="5" t="s">
        <v>21</v>
      </c>
      <c r="H18" s="5">
        <v>101460</v>
      </c>
    </row>
    <row r="19" spans="1:8" x14ac:dyDescent="0.25">
      <c r="A19" s="7" t="s">
        <v>10</v>
      </c>
      <c r="B19" s="16">
        <v>-6970</v>
      </c>
      <c r="C19" s="9"/>
      <c r="E19" s="1" t="s">
        <v>22</v>
      </c>
      <c r="F19" s="9">
        <v>129100</v>
      </c>
      <c r="G19" s="1" t="s">
        <v>53</v>
      </c>
      <c r="H19" s="1">
        <f>F18+F19-H18</f>
        <v>35890</v>
      </c>
    </row>
    <row r="20" spans="1:8" x14ac:dyDescent="0.25">
      <c r="A20" s="7" t="s">
        <v>11</v>
      </c>
      <c r="B20" s="16"/>
      <c r="C20" s="9">
        <f>SUM(B7:B19)</f>
        <v>87250</v>
      </c>
      <c r="F20" s="9"/>
    </row>
    <row r="21" spans="1:8" x14ac:dyDescent="0.25">
      <c r="A21" s="7"/>
      <c r="B21" s="16"/>
      <c r="C21" s="9"/>
    </row>
    <row r="22" spans="1:8" x14ac:dyDescent="0.25">
      <c r="A22" s="11" t="s">
        <v>12</v>
      </c>
      <c r="B22" s="16"/>
      <c r="C22" s="9"/>
      <c r="E22" s="29" t="s">
        <v>29</v>
      </c>
      <c r="F22" s="29"/>
      <c r="G22" s="29"/>
      <c r="H22" s="29"/>
    </row>
    <row r="23" spans="1:8" x14ac:dyDescent="0.25">
      <c r="A23" s="7" t="s">
        <v>30</v>
      </c>
      <c r="B23" s="16">
        <v>9500</v>
      </c>
      <c r="C23" s="9"/>
      <c r="E23" s="5" t="s">
        <v>33</v>
      </c>
      <c r="F23" s="6">
        <v>15000</v>
      </c>
      <c r="G23" s="5" t="s">
        <v>31</v>
      </c>
      <c r="H23" s="5">
        <v>9500</v>
      </c>
    </row>
    <row r="24" spans="1:8" x14ac:dyDescent="0.25">
      <c r="A24" s="7" t="s">
        <v>54</v>
      </c>
      <c r="B24" s="16">
        <f>-F14</f>
        <v>-78470</v>
      </c>
      <c r="C24" s="9"/>
      <c r="E24" s="1" t="s">
        <v>50</v>
      </c>
      <c r="F24" s="9">
        <f>H23+H24-F23</f>
        <v>2750</v>
      </c>
      <c r="G24" s="1" t="s">
        <v>34</v>
      </c>
      <c r="H24" s="1">
        <v>8250</v>
      </c>
    </row>
    <row r="25" spans="1:8" x14ac:dyDescent="0.25">
      <c r="A25" s="7"/>
      <c r="B25" s="16"/>
      <c r="C25" s="9"/>
      <c r="F25" s="9"/>
    </row>
    <row r="26" spans="1:8" x14ac:dyDescent="0.25">
      <c r="A26" s="7" t="s">
        <v>13</v>
      </c>
      <c r="B26" s="16"/>
      <c r="C26" s="9">
        <f>SUM(B23:B25)</f>
        <v>-68970</v>
      </c>
    </row>
    <row r="27" spans="1:8" x14ac:dyDescent="0.25">
      <c r="A27" s="7"/>
      <c r="B27" s="16"/>
      <c r="C27" s="9"/>
      <c r="E27" s="29" t="s">
        <v>36</v>
      </c>
      <c r="F27" s="29"/>
      <c r="G27" s="29"/>
      <c r="H27" s="29"/>
    </row>
    <row r="28" spans="1:8" x14ac:dyDescent="0.25">
      <c r="A28" s="11" t="s">
        <v>14</v>
      </c>
      <c r="B28" s="16"/>
      <c r="C28" s="9"/>
      <c r="E28" s="5" t="s">
        <v>49</v>
      </c>
      <c r="F28" s="6">
        <f>H28+H29-F29</f>
        <v>1710</v>
      </c>
      <c r="G28" s="5" t="s">
        <v>21</v>
      </c>
      <c r="H28" s="5">
        <v>1040</v>
      </c>
    </row>
    <row r="29" spans="1:8" x14ac:dyDescent="0.25">
      <c r="A29" s="7" t="s">
        <v>40</v>
      </c>
      <c r="B29" s="16">
        <v>10000</v>
      </c>
      <c r="C29" s="9"/>
      <c r="E29" s="1" t="s">
        <v>22</v>
      </c>
      <c r="F29" s="9">
        <v>7430</v>
      </c>
      <c r="G29" s="1" t="s">
        <v>37</v>
      </c>
      <c r="H29" s="1">
        <v>8100</v>
      </c>
    </row>
    <row r="30" spans="1:8" x14ac:dyDescent="0.25">
      <c r="A30" s="7" t="s">
        <v>48</v>
      </c>
      <c r="B30" s="16">
        <v>-20500</v>
      </c>
      <c r="C30" s="9"/>
      <c r="F30" s="9"/>
    </row>
    <row r="31" spans="1:8" x14ac:dyDescent="0.25">
      <c r="A31" s="7" t="s">
        <v>56</v>
      </c>
      <c r="B31" s="16">
        <f>-F9</f>
        <v>-1280</v>
      </c>
      <c r="C31" s="9"/>
    </row>
    <row r="32" spans="1:8" x14ac:dyDescent="0.25">
      <c r="A32" s="7" t="s">
        <v>15</v>
      </c>
      <c r="B32" s="16"/>
      <c r="C32" s="9">
        <f>SUM(B29:B32)</f>
        <v>-11780</v>
      </c>
      <c r="E32" s="29" t="s">
        <v>39</v>
      </c>
      <c r="F32" s="29"/>
      <c r="G32" s="29"/>
      <c r="H32" s="29"/>
    </row>
    <row r="33" spans="1:8" x14ac:dyDescent="0.25">
      <c r="A33" s="7" t="s">
        <v>16</v>
      </c>
      <c r="B33" s="16"/>
      <c r="C33" s="15">
        <f>SUM(C20:C32)</f>
        <v>6500</v>
      </c>
      <c r="E33" s="5" t="s">
        <v>41</v>
      </c>
      <c r="F33" s="6">
        <f>H33+H34-F34</f>
        <v>20500</v>
      </c>
      <c r="G33" s="5" t="s">
        <v>21</v>
      </c>
      <c r="H33" s="5">
        <f>31400+11500</f>
        <v>42900</v>
      </c>
    </row>
    <row r="34" spans="1:8" x14ac:dyDescent="0.25">
      <c r="A34" s="7" t="s">
        <v>17</v>
      </c>
      <c r="B34" s="16"/>
      <c r="C34" s="9">
        <v>8900</v>
      </c>
      <c r="E34" s="1" t="s">
        <v>22</v>
      </c>
      <c r="F34" s="9">
        <f>30400+2000</f>
        <v>32400</v>
      </c>
      <c r="G34" s="1" t="s">
        <v>41</v>
      </c>
      <c r="H34" s="1">
        <v>10000</v>
      </c>
    </row>
    <row r="35" spans="1:8" x14ac:dyDescent="0.25">
      <c r="A35" s="12" t="s">
        <v>18</v>
      </c>
      <c r="B35" s="17"/>
      <c r="C35" s="19">
        <f>SUM(C33:C34)</f>
        <v>15400</v>
      </c>
      <c r="F35" s="9"/>
    </row>
    <row r="37" spans="1:8" x14ac:dyDescent="0.25">
      <c r="E37" s="29" t="s">
        <v>42</v>
      </c>
      <c r="F37" s="29"/>
      <c r="G37" s="29"/>
      <c r="H37" s="29"/>
    </row>
    <row r="38" spans="1:8" x14ac:dyDescent="0.25">
      <c r="E38" s="5" t="s">
        <v>41</v>
      </c>
      <c r="F38" s="6">
        <f>H38+H39-F39</f>
        <v>6970</v>
      </c>
      <c r="G38" s="5" t="s">
        <v>21</v>
      </c>
      <c r="H38" s="5">
        <v>26700</v>
      </c>
    </row>
    <row r="39" spans="1:8" x14ac:dyDescent="0.25">
      <c r="E39" s="1" t="s">
        <v>22</v>
      </c>
      <c r="F39" s="9">
        <v>21480</v>
      </c>
      <c r="G39" s="1" t="s">
        <v>44</v>
      </c>
      <c r="H39" s="1">
        <v>1750</v>
      </c>
    </row>
    <row r="40" spans="1:8" x14ac:dyDescent="0.25">
      <c r="F40" s="9"/>
    </row>
  </sheetData>
  <mergeCells count="8">
    <mergeCell ref="E32:H32"/>
    <mergeCell ref="E37:H37"/>
    <mergeCell ref="E2:H2"/>
    <mergeCell ref="E7:H7"/>
    <mergeCell ref="E12:H12"/>
    <mergeCell ref="E17:H17"/>
    <mergeCell ref="E22:H22"/>
    <mergeCell ref="E27:H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C054-6F5F-4334-8AE5-1A62F39E9184}">
  <dimension ref="A1:I40"/>
  <sheetViews>
    <sheetView workbookViewId="0">
      <selection activeCell="C35" sqref="C35"/>
    </sheetView>
  </sheetViews>
  <sheetFormatPr defaultRowHeight="15" x14ac:dyDescent="0.25"/>
  <cols>
    <col min="1" max="1" width="21.140625" style="1" customWidth="1"/>
    <col min="2" max="3" width="9.140625" style="1"/>
    <col min="4" max="4" width="1.28515625" style="18" customWidth="1"/>
    <col min="5" max="5" width="13.28515625" style="1" customWidth="1"/>
    <col min="6" max="6" width="9.140625" style="1"/>
    <col min="7" max="7" width="14" style="1" customWidth="1"/>
    <col min="8" max="16384" width="9.140625" style="1"/>
  </cols>
  <sheetData>
    <row r="1" spans="1:9" x14ac:dyDescent="0.25">
      <c r="A1" s="1" t="s">
        <v>57</v>
      </c>
      <c r="E1" s="2" t="s">
        <v>19</v>
      </c>
    </row>
    <row r="2" spans="1:9" x14ac:dyDescent="0.25">
      <c r="A2" s="1" t="s">
        <v>58</v>
      </c>
      <c r="E2" s="29" t="s">
        <v>20</v>
      </c>
      <c r="F2" s="29"/>
      <c r="G2" s="29"/>
      <c r="H2" s="29"/>
    </row>
    <row r="3" spans="1:9" x14ac:dyDescent="0.25">
      <c r="A3" s="1" t="s">
        <v>2</v>
      </c>
      <c r="E3" s="5" t="s">
        <v>41</v>
      </c>
      <c r="F3" s="6">
        <f>H3+H4</f>
        <v>870</v>
      </c>
      <c r="G3" s="5" t="s">
        <v>21</v>
      </c>
      <c r="H3" s="5">
        <v>150</v>
      </c>
    </row>
    <row r="4" spans="1:9" x14ac:dyDescent="0.25">
      <c r="A4" s="1" t="s">
        <v>3</v>
      </c>
      <c r="E4" s="1" t="s">
        <v>22</v>
      </c>
      <c r="F4" s="9">
        <v>0</v>
      </c>
      <c r="G4" s="1" t="s">
        <v>25</v>
      </c>
      <c r="H4" s="1">
        <v>720</v>
      </c>
    </row>
    <row r="5" spans="1:9" x14ac:dyDescent="0.25">
      <c r="B5" s="1" t="s">
        <v>38</v>
      </c>
      <c r="F5" s="9"/>
    </row>
    <row r="6" spans="1:9" x14ac:dyDescent="0.25">
      <c r="A6" s="4" t="s">
        <v>4</v>
      </c>
      <c r="B6" s="15"/>
      <c r="C6" s="6"/>
    </row>
    <row r="7" spans="1:9" x14ac:dyDescent="0.25">
      <c r="A7" s="7" t="s">
        <v>59</v>
      </c>
      <c r="B7" s="20">
        <f>2730+720</f>
        <v>3450</v>
      </c>
      <c r="C7" s="9"/>
      <c r="E7" s="29" t="s">
        <v>23</v>
      </c>
      <c r="F7" s="29"/>
      <c r="G7" s="29"/>
      <c r="H7" s="29"/>
    </row>
    <row r="8" spans="1:9" x14ac:dyDescent="0.25">
      <c r="A8" s="10" t="s">
        <v>6</v>
      </c>
      <c r="B8" s="16"/>
      <c r="C8" s="9"/>
      <c r="E8" s="5" t="s">
        <v>25</v>
      </c>
      <c r="F8" s="6">
        <v>720</v>
      </c>
      <c r="G8" s="5" t="s">
        <v>21</v>
      </c>
      <c r="H8" s="5">
        <v>4100</v>
      </c>
    </row>
    <row r="9" spans="1:9" x14ac:dyDescent="0.25">
      <c r="A9" s="7" t="s">
        <v>37</v>
      </c>
      <c r="B9" s="16">
        <v>1000</v>
      </c>
      <c r="C9" s="9"/>
      <c r="E9" s="1" t="s">
        <v>63</v>
      </c>
      <c r="F9" s="9">
        <v>230</v>
      </c>
      <c r="G9" s="1" t="s">
        <v>5</v>
      </c>
      <c r="H9" s="21">
        <f>2730+720</f>
        <v>3450</v>
      </c>
      <c r="I9" s="3"/>
    </row>
    <row r="10" spans="1:9" x14ac:dyDescent="0.25">
      <c r="A10" s="7" t="s">
        <v>43</v>
      </c>
      <c r="B10" s="16">
        <v>120</v>
      </c>
      <c r="C10" s="9"/>
      <c r="E10" s="1" t="s">
        <v>22</v>
      </c>
      <c r="F10" s="9">
        <v>6600</v>
      </c>
    </row>
    <row r="11" spans="1:9" x14ac:dyDescent="0.25">
      <c r="A11" s="7" t="s">
        <v>68</v>
      </c>
      <c r="B11" s="16">
        <f>-F34</f>
        <v>-200</v>
      </c>
      <c r="C11" s="9"/>
    </row>
    <row r="12" spans="1:9" x14ac:dyDescent="0.25">
      <c r="A12" s="7" t="s">
        <v>53</v>
      </c>
      <c r="B12" s="16">
        <f>H29</f>
        <v>1200</v>
      </c>
      <c r="C12" s="9"/>
      <c r="E12" s="29" t="s">
        <v>36</v>
      </c>
      <c r="F12" s="29"/>
      <c r="G12" s="29"/>
      <c r="H12" s="29"/>
    </row>
    <row r="13" spans="1:9" x14ac:dyDescent="0.25">
      <c r="A13" s="7" t="s">
        <v>7</v>
      </c>
      <c r="B13" s="16"/>
      <c r="C13" s="9"/>
      <c r="E13" s="5" t="s">
        <v>41</v>
      </c>
      <c r="F13" s="6">
        <f>H13+H14-F14</f>
        <v>685</v>
      </c>
      <c r="G13" s="5" t="s">
        <v>21</v>
      </c>
      <c r="H13" s="5">
        <v>120</v>
      </c>
    </row>
    <row r="14" spans="1:9" x14ac:dyDescent="0.25">
      <c r="A14" s="7" t="s">
        <v>64</v>
      </c>
      <c r="B14" s="16">
        <f>5000-16800</f>
        <v>-11800</v>
      </c>
      <c r="C14" s="9"/>
      <c r="E14" s="1" t="s">
        <v>22</v>
      </c>
      <c r="F14" s="9">
        <v>435</v>
      </c>
      <c r="G14" s="1" t="s">
        <v>37</v>
      </c>
      <c r="H14" s="1">
        <v>1000</v>
      </c>
    </row>
    <row r="15" spans="1:9" x14ac:dyDescent="0.25">
      <c r="A15" s="7" t="s">
        <v>65</v>
      </c>
      <c r="B15" s="16">
        <f>18410-5545</f>
        <v>12865</v>
      </c>
      <c r="C15" s="9"/>
      <c r="F15" s="9"/>
    </row>
    <row r="16" spans="1:9" x14ac:dyDescent="0.25">
      <c r="A16" s="7" t="s">
        <v>66</v>
      </c>
      <c r="B16" s="16">
        <f>5170-7590</f>
        <v>-2420</v>
      </c>
      <c r="C16" s="9"/>
    </row>
    <row r="17" spans="1:8" x14ac:dyDescent="0.25">
      <c r="A17" s="7" t="s">
        <v>8</v>
      </c>
      <c r="B17" s="16">
        <f>-F13</f>
        <v>-685</v>
      </c>
      <c r="C17" s="9"/>
      <c r="E17" s="29" t="s">
        <v>39</v>
      </c>
      <c r="F17" s="29"/>
      <c r="G17" s="29"/>
      <c r="H17" s="29"/>
    </row>
    <row r="18" spans="1:8" x14ac:dyDescent="0.25">
      <c r="A18" s="7" t="s">
        <v>9</v>
      </c>
      <c r="B18" s="16">
        <f>-F3</f>
        <v>-870</v>
      </c>
      <c r="C18" s="9"/>
      <c r="E18" s="5" t="s">
        <v>41</v>
      </c>
      <c r="F18" s="6">
        <f>H18+H19-F19</f>
        <v>2600</v>
      </c>
      <c r="G18" s="5" t="s">
        <v>21</v>
      </c>
      <c r="H18" s="5">
        <f>6000</f>
        <v>6000</v>
      </c>
    </row>
    <row r="19" spans="1:8" x14ac:dyDescent="0.25">
      <c r="A19" s="7" t="s">
        <v>10</v>
      </c>
      <c r="B19" s="16">
        <f>-F38</f>
        <v>-80</v>
      </c>
      <c r="C19" s="9"/>
      <c r="E19" s="1" t="s">
        <v>22</v>
      </c>
      <c r="F19" s="9">
        <f>5400</f>
        <v>5400</v>
      </c>
      <c r="G19" s="1" t="s">
        <v>41</v>
      </c>
      <c r="H19" s="1">
        <v>2000</v>
      </c>
    </row>
    <row r="20" spans="1:8" x14ac:dyDescent="0.25">
      <c r="A20" s="7" t="s">
        <v>11</v>
      </c>
      <c r="B20" s="16"/>
      <c r="C20" s="9">
        <f>SUM(B7:B19)</f>
        <v>2580</v>
      </c>
      <c r="F20" s="9"/>
    </row>
    <row r="21" spans="1:8" x14ac:dyDescent="0.25">
      <c r="A21" s="7"/>
      <c r="B21" s="16"/>
      <c r="C21" s="9"/>
    </row>
    <row r="22" spans="1:8" x14ac:dyDescent="0.25">
      <c r="A22" s="11" t="s">
        <v>12</v>
      </c>
      <c r="B22" s="16"/>
      <c r="C22" s="9"/>
      <c r="E22" s="29" t="s">
        <v>27</v>
      </c>
      <c r="F22" s="29"/>
      <c r="G22" s="29"/>
      <c r="H22" s="29"/>
    </row>
    <row r="23" spans="1:8" x14ac:dyDescent="0.25">
      <c r="A23" s="7" t="s">
        <v>30</v>
      </c>
      <c r="B23" s="16">
        <v>200</v>
      </c>
      <c r="C23" s="9"/>
      <c r="E23" s="5" t="s">
        <v>21</v>
      </c>
      <c r="F23" s="6">
        <v>20100</v>
      </c>
      <c r="G23" s="5" t="s">
        <v>61</v>
      </c>
      <c r="H23" s="5">
        <v>700</v>
      </c>
    </row>
    <row r="24" spans="1:8" x14ac:dyDescent="0.25">
      <c r="A24" s="7" t="s">
        <v>69</v>
      </c>
      <c r="B24" s="16">
        <f>-F24</f>
        <v>-2100</v>
      </c>
      <c r="C24" s="9"/>
      <c r="E24" s="1" t="s">
        <v>41</v>
      </c>
      <c r="F24" s="9">
        <f>H23+H24-F23</f>
        <v>2100</v>
      </c>
      <c r="G24" s="1" t="s">
        <v>22</v>
      </c>
      <c r="H24" s="1">
        <v>21500</v>
      </c>
    </row>
    <row r="25" spans="1:8" x14ac:dyDescent="0.25">
      <c r="A25" s="7"/>
      <c r="B25" s="16"/>
      <c r="C25" s="9"/>
      <c r="F25" s="9"/>
    </row>
    <row r="26" spans="1:8" x14ac:dyDescent="0.25">
      <c r="A26" s="7" t="s">
        <v>13</v>
      </c>
      <c r="B26" s="16"/>
      <c r="C26" s="9">
        <f>SUM(B23:B25)</f>
        <v>-1900</v>
      </c>
    </row>
    <row r="27" spans="1:8" x14ac:dyDescent="0.25">
      <c r="A27" s="7"/>
      <c r="B27" s="16"/>
      <c r="C27" s="9"/>
      <c r="E27" s="29" t="s">
        <v>28</v>
      </c>
      <c r="F27" s="29"/>
      <c r="G27" s="29"/>
      <c r="H27" s="29"/>
    </row>
    <row r="28" spans="1:8" x14ac:dyDescent="0.25">
      <c r="A28" s="11" t="s">
        <v>14</v>
      </c>
      <c r="B28" s="16"/>
      <c r="C28" s="9"/>
      <c r="E28" s="5" t="s">
        <v>35</v>
      </c>
      <c r="F28" s="6">
        <v>700</v>
      </c>
      <c r="G28" s="5" t="s">
        <v>21</v>
      </c>
      <c r="H28" s="5">
        <v>2400</v>
      </c>
    </row>
    <row r="29" spans="1:8" x14ac:dyDescent="0.25">
      <c r="A29" s="7" t="s">
        <v>60</v>
      </c>
      <c r="B29" s="16">
        <v>2000</v>
      </c>
      <c r="C29" s="9"/>
      <c r="E29" s="1" t="s">
        <v>22</v>
      </c>
      <c r="F29" s="9">
        <v>2900</v>
      </c>
      <c r="G29" s="1" t="s">
        <v>53</v>
      </c>
      <c r="H29" s="1">
        <f>F28+F29-H28</f>
        <v>1200</v>
      </c>
    </row>
    <row r="30" spans="1:8" x14ac:dyDescent="0.25">
      <c r="A30" s="7" t="s">
        <v>56</v>
      </c>
      <c r="B30" s="16">
        <v>-230</v>
      </c>
      <c r="C30" s="9"/>
      <c r="F30" s="9"/>
    </row>
    <row r="31" spans="1:8" x14ac:dyDescent="0.25">
      <c r="A31" s="7" t="s">
        <v>70</v>
      </c>
      <c r="B31" s="16">
        <f>-F18</f>
        <v>-2600</v>
      </c>
      <c r="C31" s="9"/>
    </row>
    <row r="32" spans="1:8" x14ac:dyDescent="0.25">
      <c r="A32" s="7" t="s">
        <v>15</v>
      </c>
      <c r="B32" s="16"/>
      <c r="C32" s="9">
        <f>SUM(B29:B32)</f>
        <v>-830</v>
      </c>
      <c r="E32" s="29" t="s">
        <v>29</v>
      </c>
      <c r="F32" s="29"/>
      <c r="G32" s="29"/>
      <c r="H32" s="29"/>
    </row>
    <row r="33" spans="1:8" x14ac:dyDescent="0.25">
      <c r="A33" s="7" t="s">
        <v>16</v>
      </c>
      <c r="B33" s="16"/>
      <c r="C33" s="15">
        <f>SUM(C20:C32)</f>
        <v>-150</v>
      </c>
      <c r="E33" s="5" t="s">
        <v>33</v>
      </c>
      <c r="F33" s="6">
        <v>700</v>
      </c>
      <c r="G33" s="5" t="s">
        <v>41</v>
      </c>
      <c r="H33" s="5">
        <v>200</v>
      </c>
    </row>
    <row r="34" spans="1:8" x14ac:dyDescent="0.25">
      <c r="A34" s="7" t="s">
        <v>17</v>
      </c>
      <c r="B34" s="16"/>
      <c r="C34" s="9">
        <v>2200</v>
      </c>
      <c r="E34" s="1" t="s">
        <v>67</v>
      </c>
      <c r="F34" s="9">
        <v>200</v>
      </c>
      <c r="G34" s="1" t="s">
        <v>62</v>
      </c>
      <c r="H34" s="1">
        <v>700</v>
      </c>
    </row>
    <row r="35" spans="1:8" x14ac:dyDescent="0.25">
      <c r="A35" s="12" t="s">
        <v>18</v>
      </c>
      <c r="B35" s="17"/>
      <c r="C35" s="19">
        <f>SUM(C33:C34)</f>
        <v>2050</v>
      </c>
      <c r="F35" s="9"/>
    </row>
    <row r="37" spans="1:8" x14ac:dyDescent="0.25">
      <c r="E37" s="29" t="s">
        <v>42</v>
      </c>
      <c r="F37" s="29"/>
      <c r="G37" s="29"/>
      <c r="H37" s="29"/>
    </row>
    <row r="38" spans="1:8" x14ac:dyDescent="0.25">
      <c r="E38" s="5" t="s">
        <v>41</v>
      </c>
      <c r="F38" s="6">
        <f>H38+H39-F39</f>
        <v>80</v>
      </c>
      <c r="G38" s="5" t="s">
        <v>21</v>
      </c>
      <c r="H38" s="5">
        <v>350</v>
      </c>
    </row>
    <row r="39" spans="1:8" x14ac:dyDescent="0.25">
      <c r="E39" s="1" t="s">
        <v>22</v>
      </c>
      <c r="F39" s="9">
        <v>390</v>
      </c>
      <c r="G39" s="1" t="s">
        <v>43</v>
      </c>
      <c r="H39" s="1">
        <v>120</v>
      </c>
    </row>
    <row r="40" spans="1:8" x14ac:dyDescent="0.25">
      <c r="F40" s="9"/>
    </row>
  </sheetData>
  <mergeCells count="8">
    <mergeCell ref="E17:H17"/>
    <mergeCell ref="E37:H37"/>
    <mergeCell ref="E2:H2"/>
    <mergeCell ref="E7:H7"/>
    <mergeCell ref="E22:H22"/>
    <mergeCell ref="E27:H27"/>
    <mergeCell ref="E32:H32"/>
    <mergeCell ref="E12:H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34AA2-E504-400D-B066-B12B98FE4852}">
  <dimension ref="A1:K32"/>
  <sheetViews>
    <sheetView workbookViewId="0">
      <selection activeCell="B10" sqref="B10"/>
    </sheetView>
  </sheetViews>
  <sheetFormatPr defaultRowHeight="15" x14ac:dyDescent="0.25"/>
  <cols>
    <col min="1" max="1" width="29.42578125" customWidth="1"/>
    <col min="2" max="2" width="8.7109375" style="1" bestFit="1" customWidth="1"/>
    <col min="3" max="4" width="9.140625" style="1"/>
    <col min="5" max="5" width="1.28515625" style="18" customWidth="1"/>
    <col min="6" max="6" width="12.28515625" style="1" customWidth="1"/>
    <col min="7" max="11" width="9.140625" style="1"/>
  </cols>
  <sheetData>
    <row r="1" spans="1:9" x14ac:dyDescent="0.25">
      <c r="A1" t="s">
        <v>71</v>
      </c>
      <c r="F1" s="2" t="s">
        <v>92</v>
      </c>
    </row>
    <row r="2" spans="1:9" x14ac:dyDescent="0.25">
      <c r="A2" t="s">
        <v>72</v>
      </c>
      <c r="F2" s="2" t="s">
        <v>97</v>
      </c>
    </row>
    <row r="3" spans="1:9" x14ac:dyDescent="0.25">
      <c r="A3" t="s">
        <v>73</v>
      </c>
      <c r="G3" s="1" t="s">
        <v>94</v>
      </c>
      <c r="H3" s="1" t="s">
        <v>95</v>
      </c>
      <c r="I3" s="1" t="s">
        <v>96</v>
      </c>
    </row>
    <row r="4" spans="1:9" x14ac:dyDescent="0.25">
      <c r="A4" t="s">
        <v>3</v>
      </c>
      <c r="F4" s="1" t="s">
        <v>98</v>
      </c>
      <c r="G4" s="1">
        <v>70000</v>
      </c>
      <c r="I4" s="1">
        <v>70000</v>
      </c>
    </row>
    <row r="5" spans="1:9" x14ac:dyDescent="0.25">
      <c r="F5" s="1" t="s">
        <v>23</v>
      </c>
      <c r="G5" s="1">
        <v>4500</v>
      </c>
      <c r="H5" s="1">
        <f>I5-G5</f>
        <v>7500</v>
      </c>
      <c r="I5" s="1">
        <v>12000</v>
      </c>
    </row>
    <row r="6" spans="1:9" x14ac:dyDescent="0.25">
      <c r="A6" s="22" t="s">
        <v>74</v>
      </c>
      <c r="B6" s="5"/>
      <c r="C6" s="15"/>
      <c r="D6" s="6"/>
      <c r="G6" s="1">
        <f>G4+G5</f>
        <v>74500</v>
      </c>
      <c r="H6" s="1">
        <f t="shared" ref="H6:I6" si="0">H4+H5</f>
        <v>7500</v>
      </c>
      <c r="I6" s="1">
        <f t="shared" si="0"/>
        <v>82000</v>
      </c>
    </row>
    <row r="7" spans="1:9" x14ac:dyDescent="0.25">
      <c r="A7" s="23" t="s">
        <v>27</v>
      </c>
      <c r="B7" s="8">
        <f>-1000+200</f>
        <v>-800</v>
      </c>
      <c r="C7" s="16">
        <f>90000+60000+B7</f>
        <v>149200</v>
      </c>
      <c r="D7" s="9"/>
      <c r="H7" s="1">
        <f>H6*0.2</f>
        <v>1500</v>
      </c>
    </row>
    <row r="8" spans="1:9" x14ac:dyDescent="0.25">
      <c r="A8" s="23" t="s">
        <v>93</v>
      </c>
      <c r="B8" s="8">
        <f>65000+20000-74500-6000</f>
        <v>4500</v>
      </c>
      <c r="C8" s="16">
        <f>B8</f>
        <v>4500</v>
      </c>
      <c r="D8" s="9"/>
    </row>
    <row r="9" spans="1:9" x14ac:dyDescent="0.25">
      <c r="A9" s="23" t="s">
        <v>75</v>
      </c>
      <c r="B9" s="8">
        <v>-65000</v>
      </c>
      <c r="C9" s="16">
        <f>65000+B9</f>
        <v>0</v>
      </c>
      <c r="D9" s="9">
        <f>C7+C8+C9</f>
        <v>153700</v>
      </c>
      <c r="F9" s="2" t="s">
        <v>99</v>
      </c>
    </row>
    <row r="10" spans="1:9" x14ac:dyDescent="0.25">
      <c r="A10" s="23"/>
      <c r="B10" s="8"/>
      <c r="C10" s="16"/>
      <c r="D10" s="9"/>
      <c r="F10" s="1" t="s">
        <v>100</v>
      </c>
      <c r="H10" s="1">
        <v>1000</v>
      </c>
    </row>
    <row r="11" spans="1:9" x14ac:dyDescent="0.25">
      <c r="A11" s="24" t="s">
        <v>76</v>
      </c>
      <c r="B11" s="8"/>
      <c r="C11" s="16"/>
      <c r="D11" s="9"/>
      <c r="F11" s="1" t="s">
        <v>101</v>
      </c>
      <c r="H11" s="1">
        <v>5</v>
      </c>
    </row>
    <row r="12" spans="1:9" x14ac:dyDescent="0.25">
      <c r="A12" s="23" t="s">
        <v>77</v>
      </c>
      <c r="B12" s="8">
        <v>-200</v>
      </c>
      <c r="C12" s="16">
        <f>12000+18000+B12</f>
        <v>29800</v>
      </c>
      <c r="D12" s="9"/>
      <c r="F12" s="1" t="s">
        <v>102</v>
      </c>
      <c r="H12" s="1">
        <v>1</v>
      </c>
    </row>
    <row r="13" spans="1:9" x14ac:dyDescent="0.25">
      <c r="A13" s="23" t="s">
        <v>78</v>
      </c>
      <c r="B13" s="8"/>
      <c r="C13" s="16">
        <f>18000+17000</f>
        <v>35000</v>
      </c>
      <c r="D13" s="9"/>
      <c r="F13" s="1" t="s">
        <v>103</v>
      </c>
      <c r="H13" s="5">
        <f>H10/H11*H12</f>
        <v>200</v>
      </c>
    </row>
    <row r="14" spans="1:9" x14ac:dyDescent="0.25">
      <c r="A14" s="23" t="s">
        <v>79</v>
      </c>
      <c r="B14" s="8">
        <v>-2000</v>
      </c>
      <c r="C14" s="16">
        <f>2000+B14</f>
        <v>0</v>
      </c>
      <c r="D14" s="9"/>
    </row>
    <row r="15" spans="1:9" x14ac:dyDescent="0.25">
      <c r="A15" s="23" t="s">
        <v>80</v>
      </c>
      <c r="B15" s="8"/>
      <c r="C15" s="16">
        <f>6000+2500</f>
        <v>8500</v>
      </c>
      <c r="D15" s="9">
        <f>C15+C14+C13+C12</f>
        <v>73300</v>
      </c>
      <c r="F15" s="2" t="s">
        <v>104</v>
      </c>
    </row>
    <row r="16" spans="1:9" ht="15.75" thickBot="1" x14ac:dyDescent="0.3">
      <c r="A16" s="24" t="s">
        <v>81</v>
      </c>
      <c r="B16" s="8"/>
      <c r="C16" s="16"/>
      <c r="D16" s="28">
        <f>D9+D15</f>
        <v>227000</v>
      </c>
      <c r="F16" s="1" t="s">
        <v>77</v>
      </c>
      <c r="H16" s="1">
        <f>6000/5</f>
        <v>1200</v>
      </c>
    </row>
    <row r="17" spans="1:8" ht="15.75" thickTop="1" x14ac:dyDescent="0.25">
      <c r="A17" s="23"/>
      <c r="B17" s="8"/>
      <c r="C17" s="16"/>
      <c r="D17" s="9"/>
      <c r="F17" s="1" t="s">
        <v>105</v>
      </c>
      <c r="H17" s="26">
        <v>0.2</v>
      </c>
    </row>
    <row r="18" spans="1:8" x14ac:dyDescent="0.25">
      <c r="A18" s="24" t="s">
        <v>82</v>
      </c>
      <c r="B18" s="8"/>
      <c r="C18" s="16"/>
      <c r="D18" s="9"/>
      <c r="F18" s="1" t="s">
        <v>106</v>
      </c>
    </row>
    <row r="19" spans="1:8" x14ac:dyDescent="0.25">
      <c r="A19" s="23" t="s">
        <v>83</v>
      </c>
      <c r="B19" s="8">
        <f>-70000</f>
        <v>-70000</v>
      </c>
      <c r="C19" s="16">
        <f>120000+70000+B19</f>
        <v>120000</v>
      </c>
      <c r="D19" s="9"/>
      <c r="F19" s="1" t="s">
        <v>100</v>
      </c>
      <c r="H19" s="5">
        <f>1200/120*20</f>
        <v>200</v>
      </c>
    </row>
    <row r="20" spans="1:8" x14ac:dyDescent="0.25">
      <c r="A20" s="23" t="s">
        <v>84</v>
      </c>
      <c r="B20" s="8">
        <f>-4500-1500-1000+200*0.8-200-6000*0.8</f>
        <v>-11840</v>
      </c>
      <c r="C20" s="16">
        <f>26900+12000+B20</f>
        <v>27060</v>
      </c>
      <c r="D20" s="9"/>
    </row>
    <row r="21" spans="1:8" x14ac:dyDescent="0.25">
      <c r="A21" s="23" t="s">
        <v>85</v>
      </c>
      <c r="B21" s="8"/>
      <c r="C21" s="15">
        <f>C19+C20</f>
        <v>147060</v>
      </c>
      <c r="D21" s="9"/>
    </row>
    <row r="22" spans="1:8" x14ac:dyDescent="0.25">
      <c r="A22" s="23" t="s">
        <v>86</v>
      </c>
      <c r="B22" s="8">
        <f>20000+1500+200*0.2-6000*0.2</f>
        <v>20340</v>
      </c>
      <c r="C22" s="16">
        <f>B22</f>
        <v>20340</v>
      </c>
      <c r="D22" s="9">
        <f>C21+C22</f>
        <v>167400</v>
      </c>
    </row>
    <row r="23" spans="1:8" x14ac:dyDescent="0.25">
      <c r="A23" s="23"/>
      <c r="B23" s="8"/>
      <c r="C23" s="16"/>
      <c r="D23" s="9"/>
    </row>
    <row r="24" spans="1:8" x14ac:dyDescent="0.25">
      <c r="A24" s="24" t="s">
        <v>87</v>
      </c>
      <c r="B24" s="8"/>
      <c r="C24" s="16"/>
      <c r="D24" s="9"/>
    </row>
    <row r="25" spans="1:8" x14ac:dyDescent="0.25">
      <c r="A25" s="23" t="s">
        <v>88</v>
      </c>
      <c r="B25" s="8"/>
      <c r="C25" s="16">
        <f>7500+3100</f>
        <v>10600</v>
      </c>
      <c r="D25" s="9">
        <f>C25</f>
        <v>10600</v>
      </c>
    </row>
    <row r="26" spans="1:8" x14ac:dyDescent="0.25">
      <c r="A26" s="23"/>
      <c r="B26" s="8"/>
      <c r="C26" s="16"/>
      <c r="D26" s="9"/>
    </row>
    <row r="27" spans="1:8" x14ac:dyDescent="0.25">
      <c r="A27" s="24" t="s">
        <v>89</v>
      </c>
      <c r="B27" s="8"/>
      <c r="C27" s="16"/>
      <c r="D27" s="9"/>
    </row>
    <row r="28" spans="1:8" x14ac:dyDescent="0.25">
      <c r="A28" s="23" t="s">
        <v>90</v>
      </c>
      <c r="B28" s="8"/>
      <c r="C28" s="16">
        <f>32000+9050</f>
        <v>41050</v>
      </c>
      <c r="D28" s="9"/>
    </row>
    <row r="29" spans="1:8" x14ac:dyDescent="0.25">
      <c r="A29" s="23" t="s">
        <v>91</v>
      </c>
      <c r="B29" s="8">
        <f>-2000</f>
        <v>-2000</v>
      </c>
      <c r="C29" s="16">
        <f>2000+B29</f>
        <v>0</v>
      </c>
      <c r="D29" s="9"/>
    </row>
    <row r="30" spans="1:8" x14ac:dyDescent="0.25">
      <c r="A30" s="25" t="s">
        <v>20</v>
      </c>
      <c r="B30" s="13"/>
      <c r="C30" s="17">
        <f>1350+6600</f>
        <v>7950</v>
      </c>
      <c r="D30" s="14">
        <f>C28+C29+C30</f>
        <v>49000</v>
      </c>
    </row>
    <row r="31" spans="1:8" ht="15.75" thickBot="1" x14ac:dyDescent="0.3">
      <c r="D31" s="27">
        <f>D22+D25+D30</f>
        <v>227000</v>
      </c>
    </row>
    <row r="3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34AC-9B91-4E97-A12D-90988CFB7F64}">
  <dimension ref="A1:H12"/>
  <sheetViews>
    <sheetView workbookViewId="0">
      <selection activeCell="A13" sqref="A13"/>
    </sheetView>
  </sheetViews>
  <sheetFormatPr defaultRowHeight="15" x14ac:dyDescent="0.25"/>
  <sheetData>
    <row r="1" spans="1:8" x14ac:dyDescent="0.25">
      <c r="A1" t="s">
        <v>107</v>
      </c>
    </row>
    <row r="3" spans="1:8" x14ac:dyDescent="0.25">
      <c r="A3" t="s">
        <v>108</v>
      </c>
    </row>
    <row r="5" spans="1:8" x14ac:dyDescent="0.25">
      <c r="A5" s="30" t="s">
        <v>109</v>
      </c>
      <c r="B5" s="30"/>
      <c r="C5" s="30"/>
      <c r="D5" s="30"/>
      <c r="E5" s="30"/>
      <c r="F5" s="30"/>
      <c r="G5" s="30"/>
      <c r="H5" s="30"/>
    </row>
    <row r="6" spans="1:8" x14ac:dyDescent="0.25">
      <c r="A6" s="30"/>
      <c r="B6" s="30"/>
      <c r="C6" s="30"/>
      <c r="D6" s="30"/>
      <c r="E6" s="30"/>
      <c r="F6" s="30"/>
      <c r="G6" s="30"/>
      <c r="H6" s="30"/>
    </row>
    <row r="8" spans="1:8" x14ac:dyDescent="0.25">
      <c r="A8" t="s">
        <v>110</v>
      </c>
    </row>
    <row r="9" spans="1:8" x14ac:dyDescent="0.25">
      <c r="A9" t="s">
        <v>111</v>
      </c>
    </row>
    <row r="11" spans="1:8" x14ac:dyDescent="0.25">
      <c r="A11" t="s">
        <v>112</v>
      </c>
    </row>
    <row r="12" spans="1:8" x14ac:dyDescent="0.25">
      <c r="A12" t="s">
        <v>113</v>
      </c>
    </row>
  </sheetData>
  <mergeCells count="1">
    <mergeCell ref="A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49AEF-9582-4920-BD3C-2C43195DF3C3}">
  <dimension ref="A1:H14"/>
  <sheetViews>
    <sheetView workbookViewId="0">
      <selection activeCell="A13" sqref="A13:H14"/>
    </sheetView>
  </sheetViews>
  <sheetFormatPr defaultRowHeight="15" x14ac:dyDescent="0.25"/>
  <sheetData>
    <row r="1" spans="1:8" x14ac:dyDescent="0.25">
      <c r="A1" t="s">
        <v>114</v>
      </c>
    </row>
    <row r="3" spans="1:8" x14ac:dyDescent="0.25">
      <c r="A3" t="s">
        <v>115</v>
      </c>
    </row>
    <row r="4" spans="1:8" x14ac:dyDescent="0.25">
      <c r="A4" s="30" t="s">
        <v>116</v>
      </c>
      <c r="B4" s="30"/>
      <c r="C4" s="30"/>
      <c r="D4" s="30"/>
      <c r="E4" s="30"/>
      <c r="F4" s="30"/>
      <c r="G4" s="30"/>
      <c r="H4" s="30"/>
    </row>
    <row r="5" spans="1:8" x14ac:dyDescent="0.25">
      <c r="A5" s="30"/>
      <c r="B5" s="30"/>
      <c r="C5" s="30"/>
      <c r="D5" s="30"/>
      <c r="E5" s="30"/>
      <c r="F5" s="30"/>
      <c r="G5" s="30"/>
      <c r="H5" s="30"/>
    </row>
    <row r="7" spans="1:8" x14ac:dyDescent="0.25">
      <c r="A7" t="s">
        <v>117</v>
      </c>
    </row>
    <row r="8" spans="1:8" x14ac:dyDescent="0.25">
      <c r="A8" s="30" t="s">
        <v>118</v>
      </c>
      <c r="B8" s="30"/>
      <c r="C8" s="30"/>
      <c r="D8" s="30"/>
      <c r="E8" s="30"/>
      <c r="F8" s="30"/>
      <c r="G8" s="30"/>
      <c r="H8" s="30"/>
    </row>
    <row r="9" spans="1:8" x14ac:dyDescent="0.25">
      <c r="A9" s="30"/>
      <c r="B9" s="30"/>
      <c r="C9" s="30"/>
      <c r="D9" s="30"/>
      <c r="E9" s="30"/>
      <c r="F9" s="30"/>
      <c r="G9" s="30"/>
      <c r="H9" s="30"/>
    </row>
    <row r="10" spans="1:8" x14ac:dyDescent="0.25">
      <c r="A10" s="30"/>
      <c r="B10" s="30"/>
      <c r="C10" s="30"/>
      <c r="D10" s="30"/>
      <c r="E10" s="30"/>
      <c r="F10" s="30"/>
      <c r="G10" s="30"/>
      <c r="H10" s="30"/>
    </row>
    <row r="12" spans="1:8" x14ac:dyDescent="0.25">
      <c r="A12" t="s">
        <v>119</v>
      </c>
    </row>
    <row r="13" spans="1:8" x14ac:dyDescent="0.25">
      <c r="A13" s="30" t="s">
        <v>120</v>
      </c>
      <c r="B13" s="30"/>
      <c r="C13" s="30"/>
      <c r="D13" s="30"/>
      <c r="E13" s="30"/>
      <c r="F13" s="30"/>
      <c r="G13" s="30"/>
      <c r="H13" s="30"/>
    </row>
    <row r="14" spans="1:8" x14ac:dyDescent="0.25">
      <c r="A14" s="30"/>
      <c r="B14" s="30"/>
      <c r="C14" s="30"/>
      <c r="D14" s="30"/>
      <c r="E14" s="30"/>
      <c r="F14" s="30"/>
      <c r="G14" s="30"/>
      <c r="H14" s="30"/>
    </row>
  </sheetData>
  <mergeCells count="3">
    <mergeCell ref="A4:H5"/>
    <mergeCell ref="A8:H10"/>
    <mergeCell ref="A13:H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D7DD4-20A2-4116-AA87-FECDFE620B5A}">
  <dimension ref="A1:E21"/>
  <sheetViews>
    <sheetView zoomScale="110" zoomScaleNormal="110" workbookViewId="0">
      <selection activeCell="D8" sqref="A1:XFD1048576"/>
    </sheetView>
  </sheetViews>
  <sheetFormatPr defaultRowHeight="15" x14ac:dyDescent="0.25"/>
  <cols>
    <col min="1" max="1" width="19.85546875" style="1" customWidth="1"/>
    <col min="2" max="2" width="12.42578125" style="1" customWidth="1"/>
    <col min="3" max="3" width="9.140625" style="1"/>
    <col min="4" max="4" width="12.28515625" style="1" bestFit="1" customWidth="1"/>
    <col min="5" max="16384" width="9.140625" style="1"/>
  </cols>
  <sheetData>
    <row r="1" spans="1:3" x14ac:dyDescent="0.25">
      <c r="A1" s="2" t="s">
        <v>121</v>
      </c>
    </row>
    <row r="2" spans="1:3" x14ac:dyDescent="0.25">
      <c r="B2" s="3" t="s">
        <v>122</v>
      </c>
      <c r="C2" s="3" t="s">
        <v>123</v>
      </c>
    </row>
    <row r="3" spans="1:3" x14ac:dyDescent="0.25">
      <c r="A3" s="1" t="s">
        <v>126</v>
      </c>
      <c r="B3" s="31">
        <f>D19</f>
        <v>344347.82608695654</v>
      </c>
      <c r="C3" s="31"/>
    </row>
    <row r="4" spans="1:3" x14ac:dyDescent="0.25">
      <c r="A4" s="1" t="s">
        <v>132</v>
      </c>
      <c r="B4" s="31">
        <f>D20/2</f>
        <v>91826.086956521744</v>
      </c>
      <c r="C4" s="31">
        <f>D20/2</f>
        <v>91826.086956521744</v>
      </c>
    </row>
    <row r="5" spans="1:3" x14ac:dyDescent="0.25">
      <c r="A5" s="1" t="s">
        <v>124</v>
      </c>
      <c r="B5" s="32">
        <f>B3+B4</f>
        <v>436173.91304347827</v>
      </c>
      <c r="C5" s="32">
        <f>C3+C4</f>
        <v>91826.086956521744</v>
      </c>
    </row>
    <row r="7" spans="1:3" x14ac:dyDescent="0.25">
      <c r="A7" s="2" t="s">
        <v>92</v>
      </c>
    </row>
    <row r="9" spans="1:3" x14ac:dyDescent="0.25">
      <c r="A9" s="2" t="s">
        <v>125</v>
      </c>
    </row>
    <row r="10" spans="1:3" x14ac:dyDescent="0.25">
      <c r="A10" s="1" t="s">
        <v>126</v>
      </c>
      <c r="B10" s="1">
        <v>360000</v>
      </c>
    </row>
    <row r="11" spans="1:3" x14ac:dyDescent="0.25">
      <c r="A11" s="1" t="s">
        <v>127</v>
      </c>
      <c r="B11" s="1">
        <f>8000*24</f>
        <v>192000</v>
      </c>
      <c r="C11" s="1">
        <f>B10+B11</f>
        <v>552000</v>
      </c>
    </row>
    <row r="13" spans="1:3" x14ac:dyDescent="0.25">
      <c r="A13" s="1" t="s">
        <v>128</v>
      </c>
      <c r="C13" s="1">
        <f>22000*24</f>
        <v>528000</v>
      </c>
    </row>
    <row r="14" spans="1:3" x14ac:dyDescent="0.25">
      <c r="A14" s="1" t="s">
        <v>129</v>
      </c>
      <c r="C14" s="5">
        <f>C11-C13</f>
        <v>24000</v>
      </c>
    </row>
    <row r="16" spans="1:3" x14ac:dyDescent="0.25">
      <c r="A16" s="2" t="s">
        <v>130</v>
      </c>
    </row>
    <row r="17" spans="1:5" ht="2.25" customHeight="1" x14ac:dyDescent="0.25"/>
    <row r="18" spans="1:5" x14ac:dyDescent="0.25">
      <c r="A18" s="2" t="s">
        <v>131</v>
      </c>
      <c r="B18" s="2" t="s">
        <v>133</v>
      </c>
      <c r="C18" s="2" t="s">
        <v>129</v>
      </c>
      <c r="D18" s="2" t="s">
        <v>134</v>
      </c>
      <c r="E18" s="2" t="s">
        <v>135</v>
      </c>
    </row>
    <row r="19" spans="1:5" x14ac:dyDescent="0.25">
      <c r="A19" s="1" t="s">
        <v>126</v>
      </c>
      <c r="B19" s="1">
        <f>B10</f>
        <v>360000</v>
      </c>
      <c r="C19" s="1">
        <f>B19/B21*C21</f>
        <v>15652.173913043478</v>
      </c>
      <c r="D19" s="1">
        <f>B19-C19</f>
        <v>344347.82608695654</v>
      </c>
      <c r="E19" s="1" t="s">
        <v>136</v>
      </c>
    </row>
    <row r="20" spans="1:5" x14ac:dyDescent="0.25">
      <c r="A20" s="1" t="s">
        <v>132</v>
      </c>
      <c r="B20" s="1">
        <f>B11</f>
        <v>192000</v>
      </c>
      <c r="C20" s="1">
        <f>B20/B21*C21</f>
        <v>8347.826086956522</v>
      </c>
      <c r="D20" s="1">
        <f>B20-C20</f>
        <v>183652.17391304349</v>
      </c>
      <c r="E20" s="1" t="s">
        <v>137</v>
      </c>
    </row>
    <row r="21" spans="1:5" x14ac:dyDescent="0.25">
      <c r="B21" s="5">
        <f>B19+B20</f>
        <v>552000</v>
      </c>
      <c r="C21" s="5">
        <v>24000</v>
      </c>
      <c r="D21" s="5">
        <f>B21-C21</f>
        <v>528000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149D-3C45-4D51-8F89-CF8157DA725C}">
  <dimension ref="A1:E21"/>
  <sheetViews>
    <sheetView workbookViewId="0">
      <selection activeCell="C22" sqref="C22"/>
    </sheetView>
  </sheetViews>
  <sheetFormatPr defaultRowHeight="15" x14ac:dyDescent="0.25"/>
  <cols>
    <col min="1" max="1" width="19.85546875" style="1" customWidth="1"/>
    <col min="2" max="2" width="12.42578125" style="1" customWidth="1"/>
    <col min="3" max="3" width="9.140625" style="1"/>
    <col min="4" max="4" width="12.28515625" style="1" bestFit="1" customWidth="1"/>
    <col min="5" max="16384" width="9.140625" style="1"/>
  </cols>
  <sheetData>
    <row r="1" spans="1:3" x14ac:dyDescent="0.25">
      <c r="A1" s="2" t="s">
        <v>138</v>
      </c>
    </row>
    <row r="2" spans="1:3" x14ac:dyDescent="0.25">
      <c r="B2" s="3" t="s">
        <v>140</v>
      </c>
      <c r="C2" s="3" t="s">
        <v>122</v>
      </c>
    </row>
    <row r="3" spans="1:3" x14ac:dyDescent="0.25">
      <c r="A3" s="1" t="s">
        <v>126</v>
      </c>
      <c r="B3" s="31">
        <f>D19</f>
        <v>225000</v>
      </c>
      <c r="C3" s="31"/>
    </row>
    <row r="4" spans="1:3" x14ac:dyDescent="0.25">
      <c r="A4" s="1" t="s">
        <v>132</v>
      </c>
      <c r="B4" s="31">
        <f>D20/2</f>
        <v>67500</v>
      </c>
      <c r="C4" s="31">
        <f>D20/2</f>
        <v>67500</v>
      </c>
    </row>
    <row r="5" spans="1:3" x14ac:dyDescent="0.25">
      <c r="A5" s="1" t="s">
        <v>124</v>
      </c>
      <c r="B5" s="32">
        <f>B3+B4</f>
        <v>292500</v>
      </c>
      <c r="C5" s="32">
        <f>C3+C4</f>
        <v>67500</v>
      </c>
    </row>
    <row r="7" spans="1:3" x14ac:dyDescent="0.25">
      <c r="A7" s="2" t="s">
        <v>92</v>
      </c>
    </row>
    <row r="9" spans="1:3" x14ac:dyDescent="0.25">
      <c r="A9" s="2" t="s">
        <v>125</v>
      </c>
    </row>
    <row r="10" spans="1:3" x14ac:dyDescent="0.25">
      <c r="A10" s="1" t="s">
        <v>126</v>
      </c>
      <c r="B10" s="1">
        <v>240000</v>
      </c>
    </row>
    <row r="11" spans="1:3" x14ac:dyDescent="0.25">
      <c r="A11" s="1" t="s">
        <v>132</v>
      </c>
      <c r="B11" s="1">
        <f>6000*24</f>
        <v>144000</v>
      </c>
      <c r="C11" s="1">
        <f>B10+B11</f>
        <v>384000</v>
      </c>
    </row>
    <row r="13" spans="1:3" x14ac:dyDescent="0.25">
      <c r="A13" s="1" t="s">
        <v>139</v>
      </c>
      <c r="C13" s="1">
        <f>15000*24</f>
        <v>360000</v>
      </c>
    </row>
    <row r="14" spans="1:3" x14ac:dyDescent="0.25">
      <c r="A14" s="1" t="s">
        <v>129</v>
      </c>
      <c r="C14" s="5">
        <f>C11-C13</f>
        <v>24000</v>
      </c>
    </row>
    <row r="16" spans="1:3" x14ac:dyDescent="0.25">
      <c r="A16" s="2" t="s">
        <v>130</v>
      </c>
    </row>
    <row r="17" spans="1:5" ht="2.25" customHeight="1" x14ac:dyDescent="0.25"/>
    <row r="18" spans="1:5" x14ac:dyDescent="0.25">
      <c r="A18" s="2" t="s">
        <v>131</v>
      </c>
      <c r="B18" s="2" t="s">
        <v>133</v>
      </c>
      <c r="C18" s="2" t="s">
        <v>129</v>
      </c>
      <c r="D18" s="2" t="s">
        <v>134</v>
      </c>
      <c r="E18" s="2" t="s">
        <v>135</v>
      </c>
    </row>
    <row r="19" spans="1:5" x14ac:dyDescent="0.25">
      <c r="A19" s="1" t="s">
        <v>126</v>
      </c>
      <c r="B19" s="1">
        <f>B10</f>
        <v>240000</v>
      </c>
      <c r="C19" s="1">
        <f>B19/B21*C21</f>
        <v>15000</v>
      </c>
      <c r="D19" s="1">
        <f>B19-C19</f>
        <v>225000</v>
      </c>
      <c r="E19" s="1" t="s">
        <v>136</v>
      </c>
    </row>
    <row r="20" spans="1:5" x14ac:dyDescent="0.25">
      <c r="A20" s="1" t="s">
        <v>132</v>
      </c>
      <c r="B20" s="1">
        <f>B11</f>
        <v>144000</v>
      </c>
      <c r="C20" s="1">
        <f>B20/B21*C21</f>
        <v>9000</v>
      </c>
      <c r="D20" s="1">
        <f>B20-C20</f>
        <v>135000</v>
      </c>
      <c r="E20" s="1" t="s">
        <v>137</v>
      </c>
    </row>
    <row r="21" spans="1:5" x14ac:dyDescent="0.25">
      <c r="B21" s="5">
        <f>B19+B20</f>
        <v>384000</v>
      </c>
      <c r="C21" s="5">
        <v>24000</v>
      </c>
      <c r="D21" s="5">
        <f>B21-C21</f>
        <v>360000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CAE-28DC-40FD-9FE8-9000260C21F8}">
  <dimension ref="A1:G17"/>
  <sheetViews>
    <sheetView topLeftCell="A2" zoomScale="120" zoomScaleNormal="120" workbookViewId="0">
      <selection activeCell="A19" sqref="A19"/>
    </sheetView>
  </sheetViews>
  <sheetFormatPr defaultRowHeight="15" x14ac:dyDescent="0.25"/>
  <cols>
    <col min="1" max="1" width="27.28515625" style="1" customWidth="1"/>
    <col min="2" max="2" width="11.5703125" style="1" bestFit="1" customWidth="1"/>
    <col min="3" max="3" width="0.85546875" style="18" customWidth="1"/>
    <col min="4" max="4" width="11.42578125" style="1" customWidth="1"/>
    <col min="5" max="5" width="11" style="1" bestFit="1" customWidth="1"/>
    <col min="6" max="6" width="13.7109375" style="1" bestFit="1" customWidth="1"/>
    <col min="7" max="16384" width="9.140625" style="1"/>
  </cols>
  <sheetData>
    <row r="1" spans="1:7" x14ac:dyDescent="0.25">
      <c r="A1" s="2" t="s">
        <v>141</v>
      </c>
      <c r="D1" s="2" t="s">
        <v>92</v>
      </c>
    </row>
    <row r="3" spans="1:7" x14ac:dyDescent="0.25">
      <c r="A3" s="2" t="s">
        <v>142</v>
      </c>
      <c r="D3" s="2" t="s">
        <v>146</v>
      </c>
    </row>
    <row r="4" spans="1:7" x14ac:dyDescent="0.25">
      <c r="D4" s="1" t="s">
        <v>149</v>
      </c>
      <c r="F4" s="1">
        <v>7000000</v>
      </c>
      <c r="G4" s="1" t="s">
        <v>150</v>
      </c>
    </row>
    <row r="5" spans="1:7" x14ac:dyDescent="0.25">
      <c r="A5" s="33" t="s">
        <v>143</v>
      </c>
      <c r="B5" s="15">
        <f>F5</f>
        <v>-1750000</v>
      </c>
      <c r="D5" s="1" t="s">
        <v>152</v>
      </c>
      <c r="F5" s="1">
        <f>-F4/4</f>
        <v>-1750000</v>
      </c>
      <c r="G5" s="3" t="s">
        <v>153</v>
      </c>
    </row>
    <row r="6" spans="1:7" x14ac:dyDescent="0.25">
      <c r="A6" s="12" t="s">
        <v>144</v>
      </c>
      <c r="B6" s="17">
        <f>-F10</f>
        <v>-840000.00000000012</v>
      </c>
      <c r="D6" s="1" t="s">
        <v>154</v>
      </c>
      <c r="F6" s="5">
        <f>F4+F5</f>
        <v>5250000</v>
      </c>
    </row>
    <row r="8" spans="1:7" x14ac:dyDescent="0.25">
      <c r="A8" s="2" t="s">
        <v>145</v>
      </c>
      <c r="D8" s="2" t="s">
        <v>147</v>
      </c>
    </row>
    <row r="9" spans="1:7" x14ac:dyDescent="0.25">
      <c r="D9" s="1" t="s">
        <v>151</v>
      </c>
      <c r="F9" s="1">
        <v>6000000</v>
      </c>
    </row>
    <row r="10" spans="1:7" x14ac:dyDescent="0.25">
      <c r="A10" s="33" t="s">
        <v>74</v>
      </c>
      <c r="B10" s="15"/>
      <c r="D10" s="3" t="s">
        <v>155</v>
      </c>
      <c r="F10" s="1">
        <f>F9*0.14</f>
        <v>840000.00000000012</v>
      </c>
      <c r="G10" s="3" t="s">
        <v>156</v>
      </c>
    </row>
    <row r="11" spans="1:7" x14ac:dyDescent="0.25">
      <c r="A11" s="7" t="s">
        <v>146</v>
      </c>
      <c r="B11" s="16">
        <f>F6</f>
        <v>5250000</v>
      </c>
      <c r="D11" s="1" t="s">
        <v>157</v>
      </c>
      <c r="F11" s="1">
        <v>-2059229</v>
      </c>
    </row>
    <row r="12" spans="1:7" x14ac:dyDescent="0.25">
      <c r="A12" s="7"/>
      <c r="B12" s="16"/>
      <c r="D12" s="1" t="s">
        <v>158</v>
      </c>
      <c r="F12" s="5">
        <f>F9+F10+F11</f>
        <v>4780771</v>
      </c>
    </row>
    <row r="13" spans="1:7" x14ac:dyDescent="0.25">
      <c r="A13" s="7" t="s">
        <v>87</v>
      </c>
      <c r="B13" s="16"/>
      <c r="D13" s="34" t="s">
        <v>148</v>
      </c>
    </row>
    <row r="14" spans="1:7" x14ac:dyDescent="0.25">
      <c r="A14" s="7" t="s">
        <v>147</v>
      </c>
      <c r="B14" s="16">
        <f>F16</f>
        <v>3390849.94</v>
      </c>
      <c r="D14" s="1" t="s">
        <v>159</v>
      </c>
      <c r="E14" s="1">
        <f>-F11</f>
        <v>2059229</v>
      </c>
    </row>
    <row r="15" spans="1:7" x14ac:dyDescent="0.25">
      <c r="A15" s="7"/>
      <c r="B15" s="16"/>
      <c r="D15" s="1" t="s">
        <v>160</v>
      </c>
      <c r="E15" s="1">
        <f>-F12*0.14</f>
        <v>-669307.94000000006</v>
      </c>
      <c r="F15" s="1">
        <f>E14+E15</f>
        <v>1389921.06</v>
      </c>
      <c r="G15" s="3" t="s">
        <v>161</v>
      </c>
    </row>
    <row r="16" spans="1:7" x14ac:dyDescent="0.25">
      <c r="A16" s="7" t="s">
        <v>148</v>
      </c>
      <c r="B16" s="16"/>
      <c r="D16" s="1" t="s">
        <v>162</v>
      </c>
      <c r="F16" s="1">
        <f>F12-F15</f>
        <v>3390849.94</v>
      </c>
    </row>
    <row r="17" spans="1:2" x14ac:dyDescent="0.25">
      <c r="A17" s="12" t="s">
        <v>147</v>
      </c>
      <c r="B17" s="17">
        <f>F15</f>
        <v>1389921.06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F2E12-7626-4A80-A659-1AF321263458}">
  <dimension ref="A1:G23"/>
  <sheetViews>
    <sheetView zoomScale="120" zoomScaleNormal="120" workbookViewId="0">
      <selection activeCell="B22" sqref="B22"/>
    </sheetView>
  </sheetViews>
  <sheetFormatPr defaultRowHeight="15" x14ac:dyDescent="0.25"/>
  <cols>
    <col min="1" max="1" width="16.7109375" style="1" customWidth="1"/>
    <col min="2" max="2" width="7.140625" style="1" bestFit="1" customWidth="1"/>
    <col min="3" max="3" width="16.85546875" style="1" customWidth="1"/>
    <col min="4" max="4" width="7.140625" style="1" bestFit="1" customWidth="1"/>
    <col min="5" max="5" width="0.85546875" style="18" customWidth="1"/>
    <col min="6" max="6" width="14.7109375" style="1" customWidth="1"/>
    <col min="7" max="16384" width="9.140625" style="1"/>
  </cols>
  <sheetData>
    <row r="1" spans="1:7" x14ac:dyDescent="0.25">
      <c r="A1" s="2" t="s">
        <v>163</v>
      </c>
      <c r="F1" s="2" t="s">
        <v>92</v>
      </c>
    </row>
    <row r="2" spans="1:7" x14ac:dyDescent="0.25">
      <c r="A2" s="35" t="s">
        <v>164</v>
      </c>
      <c r="B2" s="35"/>
      <c r="C2" s="35"/>
      <c r="D2" s="35"/>
    </row>
    <row r="3" spans="1:7" x14ac:dyDescent="0.25">
      <c r="A3" s="5" t="s">
        <v>77</v>
      </c>
      <c r="B3" s="6">
        <v>6800</v>
      </c>
      <c r="C3" s="5" t="s">
        <v>41</v>
      </c>
      <c r="D3" s="5">
        <v>2000</v>
      </c>
      <c r="F3" s="2" t="s">
        <v>169</v>
      </c>
    </row>
    <row r="4" spans="1:7" x14ac:dyDescent="0.25">
      <c r="A4" s="8" t="s">
        <v>176</v>
      </c>
      <c r="B4" s="9">
        <f>G8</f>
        <v>2874.67</v>
      </c>
      <c r="C4" s="8" t="s">
        <v>41</v>
      </c>
      <c r="D4" s="8">
        <f>B13</f>
        <v>1534.934</v>
      </c>
      <c r="F4" s="1" t="s">
        <v>168</v>
      </c>
      <c r="G4" s="1">
        <v>1534.934</v>
      </c>
    </row>
    <row r="5" spans="1:7" x14ac:dyDescent="0.25">
      <c r="B5" s="9"/>
      <c r="F5" s="1" t="s">
        <v>170</v>
      </c>
      <c r="G5" s="1">
        <v>5</v>
      </c>
    </row>
    <row r="6" spans="1:7" x14ac:dyDescent="0.25">
      <c r="F6" s="1" t="s">
        <v>171</v>
      </c>
      <c r="G6" s="1">
        <f>G4*G5</f>
        <v>7674.67</v>
      </c>
    </row>
    <row r="7" spans="1:7" x14ac:dyDescent="0.25">
      <c r="A7" s="35" t="s">
        <v>165</v>
      </c>
      <c r="B7" s="35"/>
      <c r="C7" s="35"/>
      <c r="D7" s="35"/>
      <c r="F7" s="1" t="s">
        <v>151</v>
      </c>
      <c r="G7" s="1">
        <v>4800</v>
      </c>
    </row>
    <row r="8" spans="1:7" x14ac:dyDescent="0.25">
      <c r="A8" s="5" t="s">
        <v>166</v>
      </c>
      <c r="B8" s="6">
        <v>864</v>
      </c>
      <c r="C8" s="5" t="s">
        <v>167</v>
      </c>
      <c r="D8" s="5">
        <f>B4</f>
        <v>2874.67</v>
      </c>
      <c r="F8" s="1" t="s">
        <v>172</v>
      </c>
      <c r="G8" s="5">
        <f>G6-G7</f>
        <v>2874.67</v>
      </c>
    </row>
    <row r="9" spans="1:7" x14ac:dyDescent="0.25">
      <c r="B9" s="9"/>
      <c r="F9" s="1" t="s">
        <v>173</v>
      </c>
    </row>
    <row r="10" spans="1:7" x14ac:dyDescent="0.25">
      <c r="F10" s="1" t="s">
        <v>174</v>
      </c>
    </row>
    <row r="11" spans="1:7" x14ac:dyDescent="0.25">
      <c r="A11" s="35" t="s">
        <v>41</v>
      </c>
      <c r="B11" s="35"/>
      <c r="C11" s="35"/>
      <c r="D11" s="35"/>
      <c r="F11" s="1" t="s">
        <v>175</v>
      </c>
    </row>
    <row r="12" spans="1:7" x14ac:dyDescent="0.25">
      <c r="A12" s="5" t="s">
        <v>167</v>
      </c>
      <c r="B12" s="6">
        <v>2000</v>
      </c>
      <c r="C12" s="5"/>
      <c r="D12" s="5"/>
    </row>
    <row r="13" spans="1:7" x14ac:dyDescent="0.25">
      <c r="A13" s="1" t="str">
        <f>A12</f>
        <v>ලැබිය යුතු කල්බදු</v>
      </c>
      <c r="B13" s="9">
        <v>1534.934</v>
      </c>
      <c r="F13" s="2" t="s">
        <v>177</v>
      </c>
    </row>
    <row r="14" spans="1:7" x14ac:dyDescent="0.25">
      <c r="F14" s="1" t="s">
        <v>178</v>
      </c>
    </row>
    <row r="15" spans="1:7" x14ac:dyDescent="0.25">
      <c r="A15" s="35" t="s">
        <v>166</v>
      </c>
      <c r="B15" s="35"/>
      <c r="C15" s="35"/>
      <c r="D15" s="35"/>
      <c r="F15" s="1" t="s">
        <v>179</v>
      </c>
    </row>
    <row r="16" spans="1:7" x14ac:dyDescent="0.25">
      <c r="A16" s="5"/>
      <c r="B16" s="6"/>
      <c r="C16" s="5" t="s">
        <v>184</v>
      </c>
      <c r="D16" s="5">
        <f>B8</f>
        <v>864</v>
      </c>
    </row>
    <row r="17" spans="2:7" x14ac:dyDescent="0.25">
      <c r="B17" s="9"/>
      <c r="F17" s="2" t="s">
        <v>166</v>
      </c>
    </row>
    <row r="18" spans="2:7" x14ac:dyDescent="0.25">
      <c r="F18" s="1" t="s">
        <v>151</v>
      </c>
      <c r="G18" s="1">
        <f>G7</f>
        <v>4800</v>
      </c>
    </row>
    <row r="19" spans="2:7" x14ac:dyDescent="0.25">
      <c r="F19" s="1" t="s">
        <v>180</v>
      </c>
      <c r="G19" s="26">
        <v>0.18</v>
      </c>
    </row>
    <row r="20" spans="2:7" x14ac:dyDescent="0.25">
      <c r="F20" s="1" t="s">
        <v>181</v>
      </c>
      <c r="G20" s="5">
        <f>G18*G19</f>
        <v>864</v>
      </c>
    </row>
    <row r="22" spans="2:7" x14ac:dyDescent="0.25">
      <c r="F22" s="1" t="s">
        <v>182</v>
      </c>
    </row>
    <row r="23" spans="2:7" x14ac:dyDescent="0.25">
      <c r="F23" s="1" t="s">
        <v>183</v>
      </c>
    </row>
  </sheetData>
  <mergeCells count="4">
    <mergeCell ref="A2:D2"/>
    <mergeCell ref="A7:D7"/>
    <mergeCell ref="A11:D11"/>
    <mergeCell ref="A15:D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B2051-83ED-46B5-8892-AA3AB3D70294}">
  <dimension ref="A1:E35"/>
  <sheetViews>
    <sheetView topLeftCell="A16" zoomScale="110" zoomScaleNormal="110" workbookViewId="0">
      <selection activeCell="D4" sqref="A1:XFD1048576"/>
    </sheetView>
  </sheetViews>
  <sheetFormatPr defaultRowHeight="15" x14ac:dyDescent="0.25"/>
  <cols>
    <col min="1" max="1" width="17.28515625" style="1" customWidth="1"/>
    <col min="2" max="2" width="13.7109375" style="1" customWidth="1"/>
    <col min="3" max="3" width="14.5703125" style="1" bestFit="1" customWidth="1"/>
    <col min="4" max="4" width="9.140625" style="1"/>
    <col min="5" max="5" width="9.85546875" style="1" customWidth="1"/>
    <col min="6" max="16384" width="9.140625" style="1"/>
  </cols>
  <sheetData>
    <row r="1" spans="1:4" x14ac:dyDescent="0.25">
      <c r="A1" s="2" t="s">
        <v>185</v>
      </c>
    </row>
    <row r="3" spans="1:4" x14ac:dyDescent="0.25">
      <c r="A3" s="1" t="s">
        <v>186</v>
      </c>
      <c r="D3" s="31">
        <f>B27</f>
        <v>2100</v>
      </c>
    </row>
    <row r="5" spans="1:4" x14ac:dyDescent="0.25">
      <c r="A5" s="1" t="s">
        <v>187</v>
      </c>
    </row>
    <row r="6" spans="1:4" x14ac:dyDescent="0.25">
      <c r="B6" s="1" t="s">
        <v>188</v>
      </c>
      <c r="D6" s="31">
        <f>D15</f>
        <v>6000</v>
      </c>
    </row>
    <row r="7" spans="1:4" x14ac:dyDescent="0.25">
      <c r="B7" s="1" t="s">
        <v>189</v>
      </c>
      <c r="D7" s="31">
        <f>-C30</f>
        <v>-1400</v>
      </c>
    </row>
    <row r="8" spans="1:4" x14ac:dyDescent="0.25">
      <c r="D8" s="32">
        <f>D6+D7</f>
        <v>4600</v>
      </c>
    </row>
    <row r="10" spans="1:4" x14ac:dyDescent="0.25">
      <c r="A10" s="2" t="s">
        <v>92</v>
      </c>
    </row>
    <row r="11" spans="1:4" x14ac:dyDescent="0.25">
      <c r="A11" s="2" t="s">
        <v>188</v>
      </c>
    </row>
    <row r="13" spans="1:4" x14ac:dyDescent="0.25">
      <c r="A13" s="1" t="s">
        <v>190</v>
      </c>
      <c r="D13" s="1">
        <v>20000</v>
      </c>
    </row>
    <row r="14" spans="1:4" x14ac:dyDescent="0.25">
      <c r="A14" s="1" t="s">
        <v>191</v>
      </c>
      <c r="D14" s="26">
        <v>0.3</v>
      </c>
    </row>
    <row r="15" spans="1:4" x14ac:dyDescent="0.25">
      <c r="A15" s="1" t="s">
        <v>188</v>
      </c>
      <c r="D15" s="5">
        <f>D13*D14</f>
        <v>6000</v>
      </c>
    </row>
    <row r="17" spans="1:5" x14ac:dyDescent="0.25">
      <c r="A17" s="2" t="s">
        <v>189</v>
      </c>
    </row>
    <row r="18" spans="1:5" x14ac:dyDescent="0.25">
      <c r="B18" s="36" t="s">
        <v>192</v>
      </c>
      <c r="C18" s="36" t="s">
        <v>193</v>
      </c>
      <c r="D18" s="36" t="s">
        <v>194</v>
      </c>
    </row>
    <row r="19" spans="1:5" x14ac:dyDescent="0.25">
      <c r="A19" s="1" t="s">
        <v>195</v>
      </c>
      <c r="B19" s="1">
        <v>10000</v>
      </c>
      <c r="C19" s="1">
        <v>38500</v>
      </c>
    </row>
    <row r="20" spans="1:5" x14ac:dyDescent="0.25">
      <c r="A20" s="1" t="s">
        <v>196</v>
      </c>
      <c r="B20" s="1">
        <f>-(10000-0)</f>
        <v>-10000</v>
      </c>
      <c r="C20" s="1">
        <f>-(54000-22500)</f>
        <v>-31500</v>
      </c>
    </row>
    <row r="21" spans="1:5" x14ac:dyDescent="0.25">
      <c r="A21" s="1" t="s">
        <v>199</v>
      </c>
      <c r="B21" s="5">
        <f>B19+B20</f>
        <v>0</v>
      </c>
      <c r="C21" s="5">
        <f t="shared" ref="C21" si="0">C19+C20</f>
        <v>7000</v>
      </c>
      <c r="D21" s="5">
        <f>B21+C21</f>
        <v>7000</v>
      </c>
      <c r="E21" s="1" t="s">
        <v>200</v>
      </c>
    </row>
    <row r="22" spans="1:5" x14ac:dyDescent="0.25">
      <c r="A22" s="1" t="s">
        <v>191</v>
      </c>
      <c r="B22" s="8"/>
      <c r="C22" s="8"/>
      <c r="D22" s="37">
        <v>0.3</v>
      </c>
    </row>
    <row r="23" spans="1:5" x14ac:dyDescent="0.25">
      <c r="A23" s="1" t="s">
        <v>201</v>
      </c>
      <c r="B23" s="8"/>
      <c r="C23" s="8"/>
      <c r="D23" s="5">
        <f>D21*D22</f>
        <v>2100</v>
      </c>
    </row>
    <row r="24" spans="1:5" x14ac:dyDescent="0.25">
      <c r="B24" s="8"/>
      <c r="C24" s="8"/>
      <c r="D24" s="8"/>
    </row>
    <row r="25" spans="1:5" x14ac:dyDescent="0.25">
      <c r="A25" s="29" t="s">
        <v>202</v>
      </c>
      <c r="B25" s="29"/>
      <c r="C25" s="29"/>
      <c r="D25" s="29"/>
    </row>
    <row r="26" spans="1:5" x14ac:dyDescent="0.25">
      <c r="A26" s="5" t="s">
        <v>208</v>
      </c>
      <c r="B26" s="6">
        <v>1400</v>
      </c>
      <c r="C26" s="5" t="s">
        <v>203</v>
      </c>
      <c r="D26" s="5">
        <v>3500</v>
      </c>
    </row>
    <row r="27" spans="1:5" ht="15.75" thickBot="1" x14ac:dyDescent="0.3">
      <c r="A27" s="8" t="s">
        <v>204</v>
      </c>
      <c r="B27" s="39">
        <f>D23</f>
        <v>2100</v>
      </c>
      <c r="C27" s="8"/>
      <c r="D27" s="38"/>
    </row>
    <row r="28" spans="1:5" ht="15.75" thickTop="1" x14ac:dyDescent="0.25">
      <c r="B28" s="9"/>
    </row>
    <row r="29" spans="1:5" x14ac:dyDescent="0.25">
      <c r="B29" s="8"/>
    </row>
    <row r="30" spans="1:5" x14ac:dyDescent="0.25">
      <c r="A30" s="1" t="s">
        <v>205</v>
      </c>
      <c r="C30" s="1">
        <f>D26-B27</f>
        <v>1400</v>
      </c>
    </row>
    <row r="31" spans="1:5" x14ac:dyDescent="0.25">
      <c r="B31" s="1" t="s">
        <v>206</v>
      </c>
    </row>
    <row r="32" spans="1:5" x14ac:dyDescent="0.25">
      <c r="B32" s="1" t="s">
        <v>207</v>
      </c>
    </row>
    <row r="34" spans="1:1" x14ac:dyDescent="0.25">
      <c r="A34" s="1" t="s">
        <v>197</v>
      </c>
    </row>
    <row r="35" spans="1:1" x14ac:dyDescent="0.25">
      <c r="A35" s="1" t="s">
        <v>198</v>
      </c>
    </row>
  </sheetData>
  <mergeCells count="1">
    <mergeCell ref="A25:D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61D87-9FB4-4CB5-96BC-CB5E45964641}">
  <dimension ref="A1:E35"/>
  <sheetViews>
    <sheetView zoomScale="110" zoomScaleNormal="110" workbookViewId="0">
      <selection activeCell="F8" sqref="F8"/>
    </sheetView>
  </sheetViews>
  <sheetFormatPr defaultRowHeight="15" x14ac:dyDescent="0.25"/>
  <cols>
    <col min="1" max="1" width="17.28515625" style="1" customWidth="1"/>
    <col min="2" max="2" width="13.7109375" style="1" customWidth="1"/>
    <col min="3" max="3" width="16.7109375" style="1" customWidth="1"/>
    <col min="4" max="4" width="9.140625" style="1"/>
    <col min="5" max="5" width="9.85546875" style="1" customWidth="1"/>
    <col min="6" max="16384" width="9.140625" style="1"/>
  </cols>
  <sheetData>
    <row r="1" spans="1:4" x14ac:dyDescent="0.25">
      <c r="A1" s="2" t="s">
        <v>185</v>
      </c>
    </row>
    <row r="3" spans="1:4" x14ac:dyDescent="0.25">
      <c r="A3" s="1" t="s">
        <v>209</v>
      </c>
      <c r="D3" s="31">
        <f>B27</f>
        <v>1290</v>
      </c>
    </row>
    <row r="5" spans="1:4" x14ac:dyDescent="0.25">
      <c r="A5" s="1" t="s">
        <v>210</v>
      </c>
    </row>
    <row r="6" spans="1:4" x14ac:dyDescent="0.25">
      <c r="B6" s="1" t="s">
        <v>188</v>
      </c>
      <c r="D6" s="31">
        <f>D15</f>
        <v>780</v>
      </c>
    </row>
    <row r="7" spans="1:4" x14ac:dyDescent="0.25">
      <c r="B7" s="1" t="s">
        <v>189</v>
      </c>
      <c r="D7" s="31">
        <f>C30</f>
        <v>640</v>
      </c>
    </row>
    <row r="8" spans="1:4" x14ac:dyDescent="0.25">
      <c r="D8" s="32">
        <f>D6+D7</f>
        <v>1420</v>
      </c>
    </row>
    <row r="10" spans="1:4" x14ac:dyDescent="0.25">
      <c r="A10" s="2" t="s">
        <v>92</v>
      </c>
    </row>
    <row r="11" spans="1:4" x14ac:dyDescent="0.25">
      <c r="A11" s="2" t="s">
        <v>188</v>
      </c>
    </row>
    <row r="13" spans="1:4" x14ac:dyDescent="0.25">
      <c r="A13" s="1" t="s">
        <v>190</v>
      </c>
      <c r="D13" s="1">
        <v>2600</v>
      </c>
    </row>
    <row r="14" spans="1:4" x14ac:dyDescent="0.25">
      <c r="A14" s="1" t="s">
        <v>191</v>
      </c>
      <c r="D14" s="26">
        <v>0.3</v>
      </c>
    </row>
    <row r="15" spans="1:4" x14ac:dyDescent="0.25">
      <c r="A15" s="1" t="s">
        <v>188</v>
      </c>
      <c r="D15" s="5">
        <f>D13*D14</f>
        <v>780</v>
      </c>
    </row>
    <row r="17" spans="1:5" x14ac:dyDescent="0.25">
      <c r="A17" s="2" t="s">
        <v>189</v>
      </c>
    </row>
    <row r="18" spans="1:5" x14ac:dyDescent="0.25">
      <c r="B18" s="36" t="s">
        <v>192</v>
      </c>
      <c r="C18" s="36" t="s">
        <v>211</v>
      </c>
      <c r="D18" s="36" t="s">
        <v>194</v>
      </c>
    </row>
    <row r="19" spans="1:5" x14ac:dyDescent="0.25">
      <c r="A19" s="1" t="s">
        <v>195</v>
      </c>
      <c r="B19" s="1">
        <v>8000</v>
      </c>
      <c r="C19" s="1">
        <v>6500</v>
      </c>
    </row>
    <row r="20" spans="1:5" x14ac:dyDescent="0.25">
      <c r="A20" s="1" t="s">
        <v>196</v>
      </c>
      <c r="B20" s="1">
        <f>-(8000-0)</f>
        <v>-8000</v>
      </c>
      <c r="C20" s="1">
        <f>-(12000-9800)</f>
        <v>-2200</v>
      </c>
    </row>
    <row r="21" spans="1:5" x14ac:dyDescent="0.25">
      <c r="A21" s="1" t="s">
        <v>199</v>
      </c>
      <c r="B21" s="5">
        <f>B19+B20</f>
        <v>0</v>
      </c>
      <c r="C21" s="5">
        <f t="shared" ref="C21" si="0">C19+C20</f>
        <v>4300</v>
      </c>
      <c r="D21" s="5">
        <f>B21+C21</f>
        <v>4300</v>
      </c>
      <c r="E21" s="1" t="s">
        <v>200</v>
      </c>
    </row>
    <row r="22" spans="1:5" x14ac:dyDescent="0.25">
      <c r="A22" s="1" t="s">
        <v>191</v>
      </c>
      <c r="B22" s="8"/>
      <c r="C22" s="8"/>
      <c r="D22" s="37">
        <v>0.3</v>
      </c>
    </row>
    <row r="23" spans="1:5" x14ac:dyDescent="0.25">
      <c r="A23" s="1" t="s">
        <v>201</v>
      </c>
      <c r="B23" s="8"/>
      <c r="C23" s="8"/>
      <c r="D23" s="5">
        <f>D21*D22</f>
        <v>1290</v>
      </c>
    </row>
    <row r="24" spans="1:5" x14ac:dyDescent="0.25">
      <c r="B24" s="8"/>
      <c r="C24" s="8"/>
      <c r="D24" s="8"/>
    </row>
    <row r="25" spans="1:5" x14ac:dyDescent="0.25">
      <c r="A25" s="29" t="s">
        <v>202</v>
      </c>
      <c r="B25" s="29"/>
      <c r="C25" s="29"/>
      <c r="D25" s="29"/>
    </row>
    <row r="26" spans="1:5" x14ac:dyDescent="0.25">
      <c r="A26" s="5"/>
      <c r="B26" s="6"/>
      <c r="C26" s="5" t="s">
        <v>203</v>
      </c>
      <c r="D26" s="5">
        <v>650</v>
      </c>
    </row>
    <row r="27" spans="1:5" ht="15.75" thickBot="1" x14ac:dyDescent="0.3">
      <c r="A27" s="8" t="s">
        <v>204</v>
      </c>
      <c r="B27" s="39">
        <f>D23</f>
        <v>1290</v>
      </c>
      <c r="C27" s="8" t="s">
        <v>208</v>
      </c>
      <c r="D27" s="38">
        <v>640</v>
      </c>
    </row>
    <row r="28" spans="1:5" ht="15.75" thickTop="1" x14ac:dyDescent="0.25">
      <c r="B28" s="9"/>
    </row>
    <row r="29" spans="1:5" x14ac:dyDescent="0.25">
      <c r="B29" s="8"/>
    </row>
    <row r="30" spans="1:5" x14ac:dyDescent="0.25">
      <c r="A30" s="1" t="s">
        <v>212</v>
      </c>
      <c r="C30" s="1">
        <f>B27-D26</f>
        <v>640</v>
      </c>
    </row>
    <row r="31" spans="1:5" x14ac:dyDescent="0.25">
      <c r="B31" s="1" t="s">
        <v>213</v>
      </c>
    </row>
    <row r="32" spans="1:5" x14ac:dyDescent="0.25">
      <c r="B32" s="1" t="s">
        <v>214</v>
      </c>
    </row>
    <row r="34" spans="1:1" x14ac:dyDescent="0.25">
      <c r="A34" s="1" t="s">
        <v>197</v>
      </c>
    </row>
    <row r="35" spans="1:1" x14ac:dyDescent="0.25">
      <c r="A35" s="1" t="s">
        <v>198</v>
      </c>
    </row>
  </sheetData>
  <mergeCells count="1">
    <mergeCell ref="A25:D2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DE61-F837-40B4-95C7-46E33A57E0C5}">
  <dimension ref="A1:D14"/>
  <sheetViews>
    <sheetView tabSelected="1" zoomScale="140" zoomScaleNormal="140" workbookViewId="0">
      <selection activeCell="A14" sqref="A14"/>
    </sheetView>
  </sheetViews>
  <sheetFormatPr defaultRowHeight="15" x14ac:dyDescent="0.25"/>
  <cols>
    <col min="1" max="1" width="29.85546875" style="1" customWidth="1"/>
    <col min="2" max="2" width="13.7109375" style="1" customWidth="1"/>
    <col min="3" max="3" width="10" style="1" bestFit="1" customWidth="1"/>
    <col min="4" max="16384" width="9.140625" style="1"/>
  </cols>
  <sheetData>
    <row r="1" spans="1:4" x14ac:dyDescent="0.25">
      <c r="A1" s="2" t="s">
        <v>215</v>
      </c>
    </row>
    <row r="3" spans="1:4" x14ac:dyDescent="0.25">
      <c r="A3" s="2" t="s">
        <v>216</v>
      </c>
    </row>
    <row r="5" spans="1:4" x14ac:dyDescent="0.25">
      <c r="A5" s="1" t="s">
        <v>217</v>
      </c>
      <c r="C5" s="1">
        <v>6500</v>
      </c>
    </row>
    <row r="6" spans="1:4" x14ac:dyDescent="0.25">
      <c r="A6" s="1" t="s">
        <v>152</v>
      </c>
      <c r="C6" s="1">
        <f>-1300*3</f>
        <v>-3900</v>
      </c>
    </row>
    <row r="7" spans="1:4" x14ac:dyDescent="0.25">
      <c r="A7" s="1" t="s">
        <v>216</v>
      </c>
      <c r="D7" s="1">
        <f>C5+C6</f>
        <v>2600</v>
      </c>
    </row>
    <row r="9" spans="1:4" x14ac:dyDescent="0.25">
      <c r="A9" s="2" t="s">
        <v>218</v>
      </c>
    </row>
    <row r="10" spans="1:4" x14ac:dyDescent="0.25">
      <c r="A10" s="1" t="s">
        <v>219</v>
      </c>
      <c r="C10" s="1">
        <v>2300</v>
      </c>
    </row>
    <row r="11" spans="1:4" x14ac:dyDescent="0.25">
      <c r="A11" s="1" t="s">
        <v>220</v>
      </c>
      <c r="C11" s="1">
        <v>2400</v>
      </c>
      <c r="D11" s="1">
        <v>2400</v>
      </c>
    </row>
    <row r="13" spans="1:4" ht="15.75" thickBot="1" x14ac:dyDescent="0.3">
      <c r="A13" s="1" t="s">
        <v>221</v>
      </c>
      <c r="D13" s="27">
        <f>D7-D11</f>
        <v>200</v>
      </c>
    </row>
    <row r="14" spans="1: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sandeepa jayasekera</dc:creator>
  <cp:lastModifiedBy>sandeepa jayasekera</cp:lastModifiedBy>
  <dcterms:created xsi:type="dcterms:W3CDTF">2025-12-16T15:27:30Z</dcterms:created>
  <dcterms:modified xsi:type="dcterms:W3CDTF">2025-12-17T17:42:58Z</dcterms:modified>
</cp:coreProperties>
</file>