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cturing\AAT\AAT 03\Model Paper\English Medium\2025\2025 December\"/>
    </mc:Choice>
  </mc:AlternateContent>
  <xr:revisionPtr revIDLastSave="0" documentId="13_ncr:1_{AF425073-4A6E-4FBF-B24C-757BF9CE9B27}" xr6:coauthVersionLast="47" xr6:coauthVersionMax="47" xr10:uidLastSave="{00000000-0000-0000-0000-000000000000}"/>
  <bookViews>
    <workbookView xWindow="10275" yWindow="0" windowWidth="10320" windowHeight="10905" firstSheet="7" activeTab="8" xr2:uid="{75FA5D9A-E63A-4615-84FA-4D2E590D67EA}"/>
  </bookViews>
  <sheets>
    <sheet name="CF01" sheetId="40" r:id="rId1"/>
    <sheet name="CF01.1" sheetId="43" r:id="rId2"/>
    <sheet name="CF02" sheetId="45" r:id="rId3"/>
    <sheet name="CF02.1" sheetId="46" r:id="rId4"/>
    <sheet name="ConSFP" sheetId="47" r:id="rId5"/>
    <sheet name="ConPnL" sheetId="48" r:id="rId6"/>
    <sheet name="Answers" sheetId="44" state="hidden" r:id="rId7"/>
    <sheet name="Q5 and Q6" sheetId="49" r:id="rId8"/>
    <sheet name="Q7 and Q8" sheetId="5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50" l="1"/>
  <c r="J31" i="47"/>
  <c r="J30" i="47"/>
  <c r="J27" i="47"/>
  <c r="J26" i="47"/>
  <c r="J21" i="47"/>
  <c r="J20" i="47"/>
  <c r="J16" i="47"/>
  <c r="J15" i="47"/>
  <c r="J14" i="47"/>
  <c r="J11" i="47"/>
  <c r="J10" i="47"/>
  <c r="J9" i="47"/>
  <c r="J8" i="47"/>
  <c r="O50" i="47"/>
  <c r="O40" i="47"/>
  <c r="N39" i="47"/>
  <c r="N37" i="47"/>
  <c r="N35" i="47"/>
  <c r="O32" i="47"/>
  <c r="N31" i="47"/>
  <c r="O27" i="47"/>
  <c r="O23" i="47"/>
  <c r="P23" i="47"/>
  <c r="N23" i="47"/>
  <c r="O22" i="47"/>
  <c r="U23" i="47"/>
  <c r="T23" i="47"/>
  <c r="U21" i="47"/>
  <c r="T21" i="47"/>
  <c r="S19" i="47"/>
  <c r="S23" i="47" s="1"/>
  <c r="S15" i="47"/>
  <c r="U15" i="47"/>
  <c r="T15" i="47"/>
  <c r="S11" i="47"/>
  <c r="U13" i="47"/>
  <c r="T13" i="47"/>
  <c r="O17" i="47"/>
  <c r="O13" i="47"/>
  <c r="O9" i="47"/>
  <c r="C22" i="40"/>
  <c r="B3" i="43"/>
  <c r="C27" i="40"/>
  <c r="G4" i="43"/>
  <c r="I9" i="43"/>
  <c r="C13" i="40" s="1"/>
  <c r="B14" i="43"/>
  <c r="C21" i="40" s="1"/>
  <c r="C12" i="40"/>
  <c r="G15" i="43"/>
  <c r="C23" i="40"/>
  <c r="G19" i="43"/>
  <c r="C18" i="40"/>
  <c r="C17" i="40"/>
  <c r="C16" i="40"/>
  <c r="C7" i="40"/>
  <c r="D9" i="43" s="1"/>
  <c r="B9" i="43" s="1"/>
  <c r="C31" i="40" s="1"/>
  <c r="B20" i="43"/>
  <c r="D19" i="43"/>
  <c r="B19" i="43" s="1"/>
  <c r="C33" i="40" s="1"/>
  <c r="K8" i="43"/>
  <c r="K9" i="43" s="1"/>
  <c r="K13" i="48"/>
  <c r="H9" i="48"/>
  <c r="H16" i="48" s="1"/>
  <c r="H18" i="48" s="1"/>
  <c r="H19" i="48" l="1"/>
  <c r="H22" i="48"/>
  <c r="H23" i="48" s="1"/>
  <c r="K31" i="47"/>
  <c r="L65" i="48" l="1"/>
  <c r="K27" i="47"/>
  <c r="K11" i="47"/>
  <c r="J22" i="47"/>
  <c r="J23" i="47"/>
  <c r="K16" i="47"/>
  <c r="D28" i="45"/>
  <c r="D35" i="45"/>
  <c r="C14" i="45"/>
  <c r="C19" i="45" s="1"/>
  <c r="D23" i="45" s="1"/>
  <c r="C153" i="44"/>
  <c r="C149" i="44"/>
  <c r="C154" i="44"/>
  <c r="C150" i="44"/>
  <c r="C138" i="44"/>
  <c r="B161" i="44"/>
  <c r="C160" i="44"/>
  <c r="B160" i="44"/>
  <c r="C157" i="44"/>
  <c r="B157" i="44"/>
  <c r="C152" i="44"/>
  <c r="C151" i="44"/>
  <c r="C148" i="44"/>
  <c r="C147" i="44"/>
  <c r="C146" i="44"/>
  <c r="C145" i="44"/>
  <c r="C144" i="44"/>
  <c r="C143" i="44"/>
  <c r="C142" i="44"/>
  <c r="C141" i="44"/>
  <c r="C140" i="44"/>
  <c r="C139" i="44"/>
  <c r="B145" i="44"/>
  <c r="B141" i="44"/>
  <c r="B144" i="44"/>
  <c r="B143" i="44"/>
  <c r="G178" i="44"/>
  <c r="G175" i="44"/>
  <c r="B159" i="44"/>
  <c r="G169" i="44"/>
  <c r="G161" i="44"/>
  <c r="B139" i="44"/>
  <c r="R152" i="44"/>
  <c r="P152" i="44"/>
  <c r="P151" i="44"/>
  <c r="N153" i="44"/>
  <c r="M153" i="44"/>
  <c r="G152" i="44"/>
  <c r="B138" i="44"/>
  <c r="G142" i="44"/>
  <c r="G141" i="44"/>
  <c r="F114" i="44"/>
  <c r="F113" i="44"/>
  <c r="B117" i="44"/>
  <c r="B115" i="44"/>
  <c r="B113" i="44"/>
  <c r="H101" i="44"/>
  <c r="G101" i="44"/>
  <c r="G102" i="44" s="1"/>
  <c r="H105" i="44" s="1"/>
  <c r="H106" i="44" s="1"/>
  <c r="B90" i="44" s="1"/>
  <c r="H100" i="44"/>
  <c r="G100" i="44"/>
  <c r="B105" i="44"/>
  <c r="B98" i="44"/>
  <c r="B99" i="44" s="1"/>
  <c r="B89" i="44" s="1"/>
  <c r="B84" i="44"/>
  <c r="B78" i="44"/>
  <c r="B69" i="44"/>
  <c r="B54" i="44" s="1"/>
  <c r="B63" i="44"/>
  <c r="B53" i="44" s="1"/>
  <c r="I64" i="44"/>
  <c r="F68" i="44" s="1"/>
  <c r="F64" i="44"/>
  <c r="I63" i="44"/>
  <c r="I62" i="44"/>
  <c r="F57" i="44"/>
  <c r="B52" i="44" s="1"/>
  <c r="B39" i="44"/>
  <c r="H34" i="44"/>
  <c r="C33" i="44" s="1"/>
  <c r="C34" i="44" s="1"/>
  <c r="D22" i="44"/>
  <c r="D24" i="44" s="1"/>
  <c r="D8" i="44"/>
  <c r="I14" i="44"/>
  <c r="C7" i="44"/>
  <c r="C8" i="44" s="1"/>
  <c r="B7" i="44"/>
  <c r="B8" i="44" s="1"/>
  <c r="K23" i="47" l="1"/>
  <c r="K32" i="47" s="1"/>
  <c r="K17" i="47"/>
  <c r="D37" i="45"/>
  <c r="D39" i="45" s="1"/>
  <c r="B55" i="44"/>
  <c r="B91" i="44"/>
  <c r="F115" i="44"/>
  <c r="G114" i="44" s="1"/>
  <c r="H114" i="44" s="1"/>
  <c r="I114" i="44" s="1"/>
  <c r="J114" i="44" s="1"/>
  <c r="B40" i="44"/>
  <c r="C41" i="44" s="1"/>
  <c r="C43" i="44" s="1"/>
  <c r="E8" i="44"/>
  <c r="E11" i="44" s="1"/>
  <c r="D17" i="44" s="1"/>
  <c r="B15" i="44" s="1"/>
  <c r="G113" i="44" l="1"/>
  <c r="H113" i="44" s="1"/>
  <c r="I113" i="44" s="1"/>
  <c r="J113" i="44" s="1"/>
  <c r="J115" i="44" s="1"/>
  <c r="B122" i="44" s="1"/>
  <c r="B123" i="44" s="1"/>
  <c r="B128" i="44" s="1"/>
  <c r="B129" i="44" s="1"/>
  <c r="D34" i="40" l="1"/>
  <c r="D28" i="40"/>
  <c r="C15" i="40" l="1"/>
  <c r="C20" i="40" s="1"/>
  <c r="D24" i="40" s="1"/>
  <c r="D36" i="40" s="1"/>
  <c r="D38" i="40" s="1"/>
</calcChain>
</file>

<file path=xl/sharedStrings.xml><?xml version="1.0" encoding="utf-8"?>
<sst xmlns="http://schemas.openxmlformats.org/spreadsheetml/2006/main" count="514" uniqueCount="380">
  <si>
    <t>Rs. 000'</t>
  </si>
  <si>
    <t>Workings</t>
  </si>
  <si>
    <t>Operating Activities</t>
  </si>
  <si>
    <t>Cash Generated from/used in Operating Activities</t>
  </si>
  <si>
    <t>(-) Interest Paid</t>
  </si>
  <si>
    <t>(-) Tax Paid</t>
  </si>
  <si>
    <t>(-) Gratuity Paid</t>
  </si>
  <si>
    <t>Net Cash Generated from/used in Operating Activities</t>
  </si>
  <si>
    <t>Investing Activities</t>
  </si>
  <si>
    <t>Net Cash Generated from/used in Investing Activities</t>
  </si>
  <si>
    <t>Financing Activities</t>
  </si>
  <si>
    <t>Net Cash Generated from/used in Financing Activities</t>
  </si>
  <si>
    <t>Net Increase/Decrease in Cash and Cash Equivalents</t>
  </si>
  <si>
    <t>Opening Cash and Cash Equivalents</t>
  </si>
  <si>
    <t>Closing Cash and Cash Equivalents</t>
  </si>
  <si>
    <t>Statement of Cash Flows (Indirect Method)</t>
  </si>
  <si>
    <t>Profit Before Tax</t>
  </si>
  <si>
    <t>+/- Adjustments</t>
  </si>
  <si>
    <t>Operating Profit before Working Capital Changes</t>
  </si>
  <si>
    <t>Tax Payable</t>
  </si>
  <si>
    <t>Dividend Paid</t>
  </si>
  <si>
    <t>Op. Bal</t>
  </si>
  <si>
    <t>Clo. Bal</t>
  </si>
  <si>
    <t>Tax</t>
  </si>
  <si>
    <t>Dividend</t>
  </si>
  <si>
    <t>PPE</t>
  </si>
  <si>
    <t>Vehicle Disposal Proceed</t>
  </si>
  <si>
    <t>Cash</t>
  </si>
  <si>
    <t>Disposal</t>
  </si>
  <si>
    <t>Loan</t>
  </si>
  <si>
    <t>Loan Obtained</t>
  </si>
  <si>
    <t>Interest Payable</t>
  </si>
  <si>
    <t>Interest</t>
  </si>
  <si>
    <t>Interest Expense</t>
  </si>
  <si>
    <t>Gratuity</t>
  </si>
  <si>
    <t>Gratuity Expense</t>
  </si>
  <si>
    <t>PnL</t>
  </si>
  <si>
    <t>Disp. Gain</t>
  </si>
  <si>
    <t>Depreciation</t>
  </si>
  <si>
    <t>PPE Purchase</t>
  </si>
  <si>
    <t>Loan Paid</t>
  </si>
  <si>
    <t>PBT</t>
  </si>
  <si>
    <t>Question 03</t>
  </si>
  <si>
    <t>Deferred Tax</t>
  </si>
  <si>
    <t>Description</t>
  </si>
  <si>
    <t>Deferred Tax Liabilit/Asset</t>
  </si>
  <si>
    <t>Build.</t>
  </si>
  <si>
    <t>Mch.</t>
  </si>
  <si>
    <t>Total</t>
  </si>
  <si>
    <t>Acc. CV</t>
  </si>
  <si>
    <t>A</t>
  </si>
  <si>
    <t>L</t>
  </si>
  <si>
    <t>(-) Tax Base</t>
  </si>
  <si>
    <t>Working</t>
  </si>
  <si>
    <t>Tax Base of Gratuity</t>
  </si>
  <si>
    <t>Carrying Value</t>
  </si>
  <si>
    <t>(-) Amount deductible for tax purpose when liabilty gets settled</t>
  </si>
  <si>
    <t>Temporary Dif.</t>
  </si>
  <si>
    <t>TTD</t>
  </si>
  <si>
    <t>DTD</t>
  </si>
  <si>
    <t>Tax %</t>
  </si>
  <si>
    <t>Closing Deferred Tax Asset</t>
  </si>
  <si>
    <t>Deferred Tax Asset Dr. 1,250</t>
  </si>
  <si>
    <t>Deferred Tax Expense Cr. 1,250</t>
  </si>
  <si>
    <t>Deferred Tax Exp.</t>
  </si>
  <si>
    <t>a) Deferred Tax Asset Rs. 600,000</t>
  </si>
  <si>
    <t>b) Tax Expense</t>
  </si>
  <si>
    <t>C/Y Tax</t>
  </si>
  <si>
    <t>=5,600,000 X 30%</t>
  </si>
  <si>
    <t>Question 04</t>
  </si>
  <si>
    <t>Goodwill</t>
  </si>
  <si>
    <t>Investment</t>
  </si>
  <si>
    <t>(-) Net Assets</t>
  </si>
  <si>
    <t>Parent's Consideration</t>
  </si>
  <si>
    <t>Non-Controlling Interest @ Fair Value</t>
  </si>
  <si>
    <t>NCI at FV</t>
  </si>
  <si>
    <t>No. of NCI Shares</t>
  </si>
  <si>
    <t>MPS of Subsidiary</t>
  </si>
  <si>
    <t>Stated Capital</t>
  </si>
  <si>
    <t>Revaluation Reserve</t>
  </si>
  <si>
    <t>Retained Earnings</t>
  </si>
  <si>
    <t>Book Value of Net Assets</t>
  </si>
  <si>
    <t>(-) Fair Value Loss Mch.</t>
  </si>
  <si>
    <t>Fair Value of Net Assets</t>
  </si>
  <si>
    <t>Question 05</t>
  </si>
  <si>
    <t>Borrowing Cost to be capitalized</t>
  </si>
  <si>
    <t>KLS Loan Interest</t>
  </si>
  <si>
    <t xml:space="preserve">Loan </t>
  </si>
  <si>
    <t>Rs. 000</t>
  </si>
  <si>
    <t>Int Rate</t>
  </si>
  <si>
    <t>Period</t>
  </si>
  <si>
    <t>(1/2/24 - 31/12/24)</t>
  </si>
  <si>
    <t>11/12</t>
  </si>
  <si>
    <t>KLS Loan Interest (First Bill)</t>
  </si>
  <si>
    <t>Weighted Average Cost</t>
  </si>
  <si>
    <t>OBC</t>
  </si>
  <si>
    <t>XYZ</t>
  </si>
  <si>
    <t>Amount</t>
  </si>
  <si>
    <t>Rate</t>
  </si>
  <si>
    <t>10/12</t>
  </si>
  <si>
    <t>12/12</t>
  </si>
  <si>
    <t>WAC</t>
  </si>
  <si>
    <t>=Total Interest/Total Loan Amount X 100</t>
  </si>
  <si>
    <t>=59,000/500,000 X 100</t>
  </si>
  <si>
    <t>Interest on Second Bill</t>
  </si>
  <si>
    <t>Int. Rate (WAC)</t>
  </si>
  <si>
    <t>9/12</t>
  </si>
  <si>
    <t>Pool of Funds (Second Bill)</t>
  </si>
  <si>
    <t>Pool of Funds (Third Bill)</t>
  </si>
  <si>
    <t>Interest on Third Bill</t>
  </si>
  <si>
    <t>4/12</t>
  </si>
  <si>
    <t>Question 05 (b)</t>
  </si>
  <si>
    <t>i) Cost of Development</t>
  </si>
  <si>
    <t>Patent Cost</t>
  </si>
  <si>
    <t xml:space="preserve">Labor, Material and Overheads </t>
  </si>
  <si>
    <t>ii) Amortization</t>
  </si>
  <si>
    <t>Development</t>
  </si>
  <si>
    <t>Useful Life</t>
  </si>
  <si>
    <t>Amortization</t>
  </si>
  <si>
    <t>Question 06 (a)</t>
  </si>
  <si>
    <t>Recoverable Value</t>
  </si>
  <si>
    <t>Impairment Loss</t>
  </si>
  <si>
    <t>Cost</t>
  </si>
  <si>
    <t>(-) Acc. Depreciation</t>
  </si>
  <si>
    <t>=8,000/5X3</t>
  </si>
  <si>
    <t>Fair Value Less Cost to Sell</t>
  </si>
  <si>
    <t>Fair Value</t>
  </si>
  <si>
    <t>(-) Cost to Sell</t>
  </si>
  <si>
    <t>Value in Use (Present Value of Future Cash Flows)</t>
  </si>
  <si>
    <t>Annual Cashflow</t>
  </si>
  <si>
    <t>Discount Factor</t>
  </si>
  <si>
    <t>=1/1.1^1</t>
  </si>
  <si>
    <t>=1/1.1^2</t>
  </si>
  <si>
    <t>Present Value</t>
  </si>
  <si>
    <t>FV Less Cost to Sell</t>
  </si>
  <si>
    <t>Value in Use</t>
  </si>
  <si>
    <t>Recoverable Value (Highest)</t>
  </si>
  <si>
    <t>Question 06 (b)</t>
  </si>
  <si>
    <t>Machine Price</t>
  </si>
  <si>
    <t>Installation</t>
  </si>
  <si>
    <t xml:space="preserve">Total Price </t>
  </si>
  <si>
    <t>Number of Items</t>
  </si>
  <si>
    <t>Total Value</t>
  </si>
  <si>
    <t>Special Price</t>
  </si>
  <si>
    <t>Discount</t>
  </si>
  <si>
    <t>Perf. Obl.</t>
  </si>
  <si>
    <t>Machines</t>
  </si>
  <si>
    <t>Install</t>
  </si>
  <si>
    <t>Price</t>
  </si>
  <si>
    <t>After Disc. Price</t>
  </si>
  <si>
    <t>Discount for Machines</t>
  </si>
  <si>
    <t>=3,000 X 12,500/15,000</t>
  </si>
  <si>
    <t>Weights</t>
  </si>
  <si>
    <t>Revenue to be Recognized</t>
  </si>
  <si>
    <t>Revenue Recognition point is Installation</t>
  </si>
  <si>
    <t>No. of Machines Installed</t>
  </si>
  <si>
    <t>After Discount Price</t>
  </si>
  <si>
    <t>Revenue Recognized</t>
  </si>
  <si>
    <t xml:space="preserve">Unearned Income </t>
  </si>
  <si>
    <t>Advance Received</t>
  </si>
  <si>
    <t>(-) Revenue Recognized</t>
  </si>
  <si>
    <t>Unearned Income</t>
  </si>
  <si>
    <t>Question 10</t>
  </si>
  <si>
    <t>Laila Group</t>
  </si>
  <si>
    <t>Consolidated Income Statement</t>
  </si>
  <si>
    <t>For the year ended 31/3/25</t>
  </si>
  <si>
    <t xml:space="preserve">Sales </t>
  </si>
  <si>
    <t>Cost of Sales</t>
  </si>
  <si>
    <t>Gross Profits</t>
  </si>
  <si>
    <t>Other Income</t>
  </si>
  <si>
    <t>Distribution Expenses</t>
  </si>
  <si>
    <t>Administration Expenses</t>
  </si>
  <si>
    <t>Finance Expenses</t>
  </si>
  <si>
    <t>Other Expenses</t>
  </si>
  <si>
    <t>Taxation</t>
  </si>
  <si>
    <t>Profit After Tax</t>
  </si>
  <si>
    <t>Other Comprehensive Income</t>
  </si>
  <si>
    <t>Profit Attributable to P' Sh.</t>
  </si>
  <si>
    <t>Profit Attributable to NCI</t>
  </si>
  <si>
    <t>Total Comprehensive Income</t>
  </si>
  <si>
    <t>TCI Attributable to P' Sh.</t>
  </si>
  <si>
    <t>TCI Attributable to NCI</t>
  </si>
  <si>
    <t>NCI Share of Profits</t>
  </si>
  <si>
    <t>Profit</t>
  </si>
  <si>
    <t>OCI</t>
  </si>
  <si>
    <t>Book Value</t>
  </si>
  <si>
    <t>Adj.</t>
  </si>
  <si>
    <t>Dr. (-) Cr. +</t>
  </si>
  <si>
    <t>W1 - Intercompany Sale</t>
  </si>
  <si>
    <t>Profit on Cost 20%</t>
  </si>
  <si>
    <t>Sale Value</t>
  </si>
  <si>
    <t xml:space="preserve">Dr. Sales </t>
  </si>
  <si>
    <t>Cr. Cost of Sales</t>
  </si>
  <si>
    <t>W2 - Unrealized Profit (Seller Parent)</t>
  </si>
  <si>
    <t>Inventory</t>
  </si>
  <si>
    <t>Profit on Cost</t>
  </si>
  <si>
    <t>(SV to Seller)</t>
  </si>
  <si>
    <t>Unrealized Profit</t>
  </si>
  <si>
    <t xml:space="preserve">SP = C+ P </t>
  </si>
  <si>
    <t>120=100+20</t>
  </si>
  <si>
    <t xml:space="preserve">=Inventory/Unit Selling Price X Unit Profit </t>
  </si>
  <si>
    <t>=45,000/120*20</t>
  </si>
  <si>
    <t>Dr. Cost of Sales</t>
  </si>
  <si>
    <t>Cr. Inventory</t>
  </si>
  <si>
    <t>Parent</t>
  </si>
  <si>
    <t>Sub</t>
  </si>
  <si>
    <t>SV 45000</t>
  </si>
  <si>
    <t>Cost 37500</t>
  </si>
  <si>
    <t>Inv 45000</t>
  </si>
  <si>
    <t>P</t>
  </si>
  <si>
    <t>S</t>
  </si>
  <si>
    <t>G</t>
  </si>
  <si>
    <t>Sale</t>
  </si>
  <si>
    <t>COS</t>
  </si>
  <si>
    <t>Int. Sale</t>
  </si>
  <si>
    <t>Dr. Sale Cr. COS</t>
  </si>
  <si>
    <t>URP</t>
  </si>
  <si>
    <t>W3 Management Fee</t>
  </si>
  <si>
    <t>Monthly Fee</t>
  </si>
  <si>
    <t>No. of Months</t>
  </si>
  <si>
    <t xml:space="preserve">Total </t>
  </si>
  <si>
    <t>Dr. Other Income</t>
  </si>
  <si>
    <t>Cr. Admin Expense</t>
  </si>
  <si>
    <t>W4 Unrealized Profit on PPE (Seller Subsidiary)</t>
  </si>
  <si>
    <t>Disposal Proceed</t>
  </si>
  <si>
    <t>Dr. Other Income (NCI Table)</t>
  </si>
  <si>
    <t>Cr. Property Plant and Equipment</t>
  </si>
  <si>
    <t>URP NCI Share</t>
  </si>
  <si>
    <t>W5 Depreciation on URP (Buyer Parent)</t>
  </si>
  <si>
    <t>Period Used</t>
  </si>
  <si>
    <t>Depreciation on URP</t>
  </si>
  <si>
    <t>Dr. Accumulated Depreciation</t>
  </si>
  <si>
    <t>Cr. Administration Expense (Depreciation)</t>
  </si>
  <si>
    <t>W5 Intercompany Interest</t>
  </si>
  <si>
    <t>Cr. Finance Expense</t>
  </si>
  <si>
    <t>W6 Goodwill Impairment (NCI at Share of Net Assets)</t>
  </si>
  <si>
    <t>Goodwill Impairment</t>
  </si>
  <si>
    <t>Dr. Other Expenses</t>
  </si>
  <si>
    <t>Cr. Goodwill</t>
  </si>
  <si>
    <t>=126,960-3840</t>
  </si>
  <si>
    <t>=128,760-4,480</t>
  </si>
  <si>
    <t>Chemiro (Pvt) Ltd</t>
  </si>
  <si>
    <t>Increase in Trade Receivables</t>
  </si>
  <si>
    <t>Decrease in Inventory</t>
  </si>
  <si>
    <t>Increase in Trade Payables</t>
  </si>
  <si>
    <t>For the Year Ended 31st March 2024</t>
  </si>
  <si>
    <t>Vinco (Pvt) Ltd</t>
  </si>
  <si>
    <t>For the Year Ended 31st March 2023</t>
  </si>
  <si>
    <t>Disp. Loss</t>
  </si>
  <si>
    <t>Bad Debt</t>
  </si>
  <si>
    <t>Consolidated Statement of Financial Position</t>
  </si>
  <si>
    <t>Rs.000</t>
  </si>
  <si>
    <t>W1</t>
  </si>
  <si>
    <t>W2</t>
  </si>
  <si>
    <t>W3</t>
  </si>
  <si>
    <t>W4</t>
  </si>
  <si>
    <t>W5</t>
  </si>
  <si>
    <t>W6</t>
  </si>
  <si>
    <t>W7</t>
  </si>
  <si>
    <t>W8</t>
  </si>
  <si>
    <t>Non-Current Assets</t>
  </si>
  <si>
    <t>Property Plant and Equipment at Cost</t>
  </si>
  <si>
    <t>Current Assets</t>
  </si>
  <si>
    <t>Trade and Other Receivables</t>
  </si>
  <si>
    <t>Total Assets</t>
  </si>
  <si>
    <t>Equity</t>
  </si>
  <si>
    <t xml:space="preserve">Stated Capital </t>
  </si>
  <si>
    <t>Equity Attributable to Parent's Shareholders</t>
  </si>
  <si>
    <t>Non-Controlling Interest</t>
  </si>
  <si>
    <t>Current Liabilities</t>
  </si>
  <si>
    <t>Trade and Other Payables</t>
  </si>
  <si>
    <t>Bank Overdraft</t>
  </si>
  <si>
    <t>Total Equity and Liabilities</t>
  </si>
  <si>
    <t>Thomas Group</t>
  </si>
  <si>
    <t>As at 31/3/2023</t>
  </si>
  <si>
    <t>Investment in Gomes PLC</t>
  </si>
  <si>
    <t>Investment in Debentures</t>
  </si>
  <si>
    <t>Cash and Cash Equivalents</t>
  </si>
  <si>
    <t>Non-Current Liabilities</t>
  </si>
  <si>
    <t>Bank Loan</t>
  </si>
  <si>
    <t>Debentures</t>
  </si>
  <si>
    <t>W1 - Investment</t>
  </si>
  <si>
    <t>Goodwill Dr.</t>
  </si>
  <si>
    <t>W2 - Fair Value Gain</t>
  </si>
  <si>
    <t>Goodwill Cr.</t>
  </si>
  <si>
    <t>W3 - Non-Controlling Interest</t>
  </si>
  <si>
    <t>W4 - Subsidiary Net Assets</t>
  </si>
  <si>
    <t>Pre</t>
  </si>
  <si>
    <t>Post</t>
  </si>
  <si>
    <t>Reporting</t>
  </si>
  <si>
    <t>Stated Capital Dr.</t>
  </si>
  <si>
    <t>Retained Earnings Dr.</t>
  </si>
  <si>
    <t>Non-Controlling Interest Cr.</t>
  </si>
  <si>
    <t>Inventory Cr.</t>
  </si>
  <si>
    <t>W6 -Unrealized Profits on Inventory (Seller Parent)</t>
  </si>
  <si>
    <t>W7 - Intercompany Debenture Investment</t>
  </si>
  <si>
    <t>W8 - Goodwill Impairment (NCI at Fair Value)</t>
  </si>
  <si>
    <t>Non-Controlling Interest Dr.</t>
  </si>
  <si>
    <t xml:space="preserve">Sales  </t>
  </si>
  <si>
    <t xml:space="preserve">Cost of Sales </t>
  </si>
  <si>
    <t xml:space="preserve">Gross Profit </t>
  </si>
  <si>
    <t xml:space="preserve">Other Income: </t>
  </si>
  <si>
    <t xml:space="preserve">Distribution Expenses </t>
  </si>
  <si>
    <t xml:space="preserve">Administration Expenses </t>
  </si>
  <si>
    <t xml:space="preserve">Finance Expenses </t>
  </si>
  <si>
    <t>Profit before Tax</t>
  </si>
  <si>
    <t xml:space="preserve">Income Tax Expense </t>
  </si>
  <si>
    <t xml:space="preserve">Profit for the Year </t>
  </si>
  <si>
    <t>Profit Attributable to Parent's Shareholders</t>
  </si>
  <si>
    <t>Profit Attributable to Non-Controlling Interest</t>
  </si>
  <si>
    <t>Vikash Group</t>
  </si>
  <si>
    <t>As at 31/3/2025</t>
  </si>
  <si>
    <t>W1 - NCI Share of Profits</t>
  </si>
  <si>
    <t>Book Balance</t>
  </si>
  <si>
    <t xml:space="preserve">  Other Income</t>
  </si>
  <si>
    <t xml:space="preserve">  Profit on Disposal of Assets</t>
  </si>
  <si>
    <t>W2 - Intercompany Sales</t>
  </si>
  <si>
    <t>W3 - Unrealized Profits on Inventory (Seller Parent)</t>
  </si>
  <si>
    <t>W3 - Management Fee</t>
  </si>
  <si>
    <t>W4 - Interest Expense</t>
  </si>
  <si>
    <t>W5 - Unrealized Profit on Machinery (Seller Subsidiary)</t>
  </si>
  <si>
    <t>URP on Machines</t>
  </si>
  <si>
    <t>W6 - Depreciation on URP (Buyer Parent)</t>
  </si>
  <si>
    <t>Statement of Cash Flows</t>
  </si>
  <si>
    <t>Property Plant and Equipment</t>
  </si>
  <si>
    <t>Accumulated Depreciation</t>
  </si>
  <si>
    <t>Disposal Gain Loss</t>
  </si>
  <si>
    <t>Acc. Dep.</t>
  </si>
  <si>
    <t>Grat. Exp</t>
  </si>
  <si>
    <t>Investment in Subsidiary Cr.</t>
  </si>
  <si>
    <t>Goodwill (INV P + NCI - Pre Acq NA)</t>
  </si>
  <si>
    <t>Land Dr.</t>
  </si>
  <si>
    <t>Inv</t>
  </si>
  <si>
    <t>NA</t>
  </si>
  <si>
    <t>NCI @%NA</t>
  </si>
  <si>
    <t>GW</t>
  </si>
  <si>
    <t>NCI @FV</t>
  </si>
  <si>
    <t xml:space="preserve">Retained Earnings </t>
  </si>
  <si>
    <t>W5 - NCI Share of Profit</t>
  </si>
  <si>
    <t>SP =  C + P</t>
  </si>
  <si>
    <t xml:space="preserve">Inventory </t>
  </si>
  <si>
    <t>Debentures Dr.</t>
  </si>
  <si>
    <t>Investment in Debenture Cr.</t>
  </si>
  <si>
    <t xml:space="preserve">Retained Earnings Dr. </t>
  </si>
  <si>
    <t>a)</t>
  </si>
  <si>
    <t>1. Probable inflow of economic benefits</t>
  </si>
  <si>
    <t>2. Resource adequacy to complete the development</t>
  </si>
  <si>
    <t>3. Intention to complete the development</t>
  </si>
  <si>
    <t>4. Technical feasibility to complete the development</t>
  </si>
  <si>
    <t>5. Ability to complete the development</t>
  </si>
  <si>
    <t>R</t>
  </si>
  <si>
    <t>I</t>
  </si>
  <si>
    <t>T</t>
  </si>
  <si>
    <t>b)</t>
  </si>
  <si>
    <t>Research</t>
  </si>
  <si>
    <t>As per LKAS 38, research expense cannot be capitalized, as it does not generate a commercial benefit</t>
  </si>
  <si>
    <t>Patent Right</t>
  </si>
  <si>
    <t>The cost of the patent right can be recognized, as it satisfies recognition criteria for development</t>
  </si>
  <si>
    <t>TV Commercial</t>
  </si>
  <si>
    <t>It's marketing overhead, which cannot be recognized.</t>
  </si>
  <si>
    <t>Question 06</t>
  </si>
  <si>
    <t>Training</t>
  </si>
  <si>
    <t>The human capital cannot be controlled. Therefore, the training cost cannot be capitalized.</t>
  </si>
  <si>
    <t>Question 07</t>
  </si>
  <si>
    <t>1. Contingent Liability</t>
  </si>
  <si>
    <t>Case filed against the company by a customer, is a contingent liability. The nature and the financial impact shall be disclosed in the financial statements. It cannot be recognized.</t>
  </si>
  <si>
    <t>2. Final Dividend</t>
  </si>
  <si>
    <t>As per LKAS 10, final dividends cannot be recognized. However, the declared date, per share dividend and total dividend shall be disclosed.</t>
  </si>
  <si>
    <t>3. Tax on Disallowed Expense</t>
  </si>
  <si>
    <t>Disallowed Amount</t>
  </si>
  <si>
    <t>Tax Rate</t>
  </si>
  <si>
    <t>Tax Impact</t>
  </si>
  <si>
    <t>A Tax provision of Rs. 450,000 is required to be made in the financial statements.</t>
  </si>
  <si>
    <t>Question 08</t>
  </si>
  <si>
    <t>1. Provision</t>
  </si>
  <si>
    <t>The case filed against the company by the employee has been finalized not in favour of company, resulting a Rs. 3 Mn compensation after the year end. Therefore, a provision for the compensation is required for the year ended 31st March 2023.</t>
  </si>
  <si>
    <t>2. Contingent Asset</t>
  </si>
  <si>
    <t>The claim against the supplier, is a contingent asset with a high probability of winning. Therefore, it shall be disclosed on nature and financial impacts.</t>
  </si>
  <si>
    <t>3. Provision on Dismantling</t>
  </si>
  <si>
    <t>Since there's a legal obligation to dismantle the mineral site, a provision for the present value of dismantling is required to be recognized.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</si>
</sst>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00_);_(* \(#,##0.0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164" fontId="2" fillId="0" borderId="6" xfId="1" applyNumberFormat="1" applyFont="1" applyBorder="1"/>
    <xf numFmtId="164" fontId="2" fillId="0" borderId="0" xfId="1" applyNumberFormat="1" applyFont="1" applyBorder="1"/>
    <xf numFmtId="164" fontId="2" fillId="0" borderId="0" xfId="1" applyNumberFormat="1" applyFont="1"/>
    <xf numFmtId="164" fontId="2" fillId="0" borderId="10" xfId="1" applyNumberFormat="1" applyFont="1" applyBorder="1"/>
    <xf numFmtId="164" fontId="3" fillId="0" borderId="0" xfId="1" applyNumberFormat="1" applyFont="1"/>
    <xf numFmtId="164" fontId="2" fillId="0" borderId="8" xfId="1" applyNumberFormat="1" applyFont="1" applyBorder="1"/>
    <xf numFmtId="164" fontId="2" fillId="0" borderId="1" xfId="1" applyNumberFormat="1" applyFont="1" applyBorder="1"/>
    <xf numFmtId="164" fontId="3" fillId="0" borderId="6" xfId="1" applyNumberFormat="1" applyFont="1" applyBorder="1"/>
    <xf numFmtId="164" fontId="3" fillId="0" borderId="9" xfId="1" applyNumberFormat="1" applyFont="1" applyBorder="1"/>
    <xf numFmtId="164" fontId="2" fillId="0" borderId="7" xfId="1" applyNumberFormat="1" applyFont="1" applyBorder="1" applyAlignment="1"/>
    <xf numFmtId="164" fontId="2" fillId="0" borderId="4" xfId="1" applyNumberFormat="1" applyFont="1" applyBorder="1"/>
    <xf numFmtId="164" fontId="3" fillId="0" borderId="2" xfId="1" applyNumberFormat="1" applyFont="1" applyBorder="1"/>
    <xf numFmtId="164" fontId="3" fillId="0" borderId="3" xfId="1" applyNumberFormat="1" applyFont="1" applyBorder="1"/>
    <xf numFmtId="164" fontId="3" fillId="0" borderId="4" xfId="1" applyNumberFormat="1" applyFont="1" applyBorder="1" applyAlignment="1">
      <alignment horizontal="center"/>
    </xf>
    <xf numFmtId="164" fontId="3" fillId="0" borderId="5" xfId="1" applyNumberFormat="1" applyFont="1" applyBorder="1" applyAlignment="1">
      <alignment horizontal="center"/>
    </xf>
    <xf numFmtId="164" fontId="2" fillId="0" borderId="11" xfId="1" applyNumberFormat="1" applyFont="1" applyBorder="1" applyAlignment="1"/>
    <xf numFmtId="164" fontId="2" fillId="0" borderId="4" xfId="1" applyNumberFormat="1" applyFont="1" applyBorder="1" applyAlignment="1"/>
    <xf numFmtId="164" fontId="2" fillId="0" borderId="6" xfId="1" quotePrefix="1" applyNumberFormat="1" applyFont="1" applyBorder="1"/>
    <xf numFmtId="164" fontId="2" fillId="0" borderId="2" xfId="1" applyNumberFormat="1" applyFont="1" applyBorder="1"/>
    <xf numFmtId="164" fontId="2" fillId="0" borderId="3" xfId="1" applyNumberFormat="1" applyFont="1" applyBorder="1"/>
    <xf numFmtId="164" fontId="2" fillId="0" borderId="5" xfId="1" applyNumberFormat="1" applyFont="1" applyBorder="1"/>
    <xf numFmtId="164" fontId="0" fillId="0" borderId="0" xfId="1" applyNumberFormat="1" applyFont="1"/>
    <xf numFmtId="164" fontId="4" fillId="0" borderId="0" xfId="1" applyNumberFormat="1" applyFont="1"/>
    <xf numFmtId="164" fontId="0" fillId="0" borderId="0" xfId="1" applyNumberFormat="1" applyFont="1" applyAlignment="1">
      <alignment horizontal="center"/>
    </xf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2" xfId="1" applyNumberFormat="1" applyFont="1" applyBorder="1"/>
    <xf numFmtId="164" fontId="0" fillId="0" borderId="0" xfId="1" applyNumberFormat="1" applyFont="1" applyBorder="1"/>
    <xf numFmtId="164" fontId="0" fillId="0" borderId="8" xfId="1" applyNumberFormat="1" applyFont="1" applyBorder="1"/>
    <xf numFmtId="164" fontId="0" fillId="0" borderId="0" xfId="1" applyNumberFormat="1" applyFont="1" applyAlignment="1">
      <alignment horizontal="left" wrapText="1"/>
    </xf>
    <xf numFmtId="9" fontId="0" fillId="0" borderId="0" xfId="2" applyFont="1"/>
    <xf numFmtId="164" fontId="0" fillId="0" borderId="0" xfId="1" quotePrefix="1" applyNumberFormat="1" applyFont="1"/>
    <xf numFmtId="164" fontId="4" fillId="0" borderId="0" xfId="1" applyNumberFormat="1" applyFont="1" applyAlignment="1">
      <alignment horizontal="center"/>
    </xf>
    <xf numFmtId="164" fontId="5" fillId="0" borderId="0" xfId="1" applyNumberFormat="1" applyFont="1"/>
    <xf numFmtId="164" fontId="0" fillId="2" borderId="0" xfId="1" applyNumberFormat="1" applyFont="1" applyFill="1"/>
    <xf numFmtId="164" fontId="4" fillId="2" borderId="0" xfId="1" applyNumberFormat="1" applyFont="1" applyFill="1" applyAlignment="1">
      <alignment horizontal="center"/>
    </xf>
    <xf numFmtId="164" fontId="0" fillId="2" borderId="0" xfId="1" applyNumberFormat="1" applyFont="1" applyFill="1" applyAlignment="1">
      <alignment horizontal="center"/>
    </xf>
    <xf numFmtId="164" fontId="0" fillId="2" borderId="3" xfId="1" applyNumberFormat="1" applyFont="1" applyFill="1" applyBorder="1"/>
    <xf numFmtId="164" fontId="0" fillId="0" borderId="0" xfId="1" applyNumberFormat="1" applyFont="1" applyFill="1"/>
    <xf numFmtId="164" fontId="4" fillId="0" borderId="0" xfId="1" applyNumberFormat="1" applyFont="1" applyFill="1" applyAlignment="1">
      <alignment horizontal="center"/>
    </xf>
    <xf numFmtId="164" fontId="0" fillId="0" borderId="0" xfId="1" applyNumberFormat="1" applyFont="1" applyFill="1" applyAlignment="1">
      <alignment horizontal="center"/>
    </xf>
    <xf numFmtId="165" fontId="0" fillId="0" borderId="0" xfId="2" applyNumberFormat="1" applyFont="1"/>
    <xf numFmtId="164" fontId="0" fillId="0" borderId="0" xfId="1" quotePrefix="1" applyNumberFormat="1" applyFont="1" applyAlignment="1">
      <alignment horizontal="right"/>
    </xf>
    <xf numFmtId="164" fontId="1" fillId="0" borderId="0" xfId="1" applyNumberFormat="1" applyFont="1"/>
    <xf numFmtId="166" fontId="0" fillId="0" borderId="0" xfId="1" applyNumberFormat="1" applyFont="1"/>
    <xf numFmtId="164" fontId="0" fillId="0" borderId="6" xfId="1" applyNumberFormat="1" applyFont="1" applyBorder="1"/>
    <xf numFmtId="164" fontId="0" fillId="0" borderId="9" xfId="1" applyNumberFormat="1" applyFont="1" applyBorder="1"/>
    <xf numFmtId="164" fontId="0" fillId="0" borderId="12" xfId="1" applyNumberFormat="1" applyFont="1" applyBorder="1"/>
    <xf numFmtId="164" fontId="0" fillId="0" borderId="4" xfId="1" applyNumberFormat="1" applyFont="1" applyBorder="1"/>
    <xf numFmtId="164" fontId="0" fillId="0" borderId="7" xfId="1" applyNumberFormat="1" applyFont="1" applyBorder="1"/>
    <xf numFmtId="164" fontId="0" fillId="0" borderId="11" xfId="1" applyNumberFormat="1" applyFont="1" applyBorder="1"/>
    <xf numFmtId="164" fontId="4" fillId="0" borderId="13" xfId="1" applyNumberFormat="1" applyFont="1" applyBorder="1"/>
    <xf numFmtId="164" fontId="4" fillId="0" borderId="1" xfId="1" applyNumberFormat="1" applyFont="1" applyBorder="1"/>
    <xf numFmtId="164" fontId="4" fillId="0" borderId="14" xfId="1" applyNumberFormat="1" applyFont="1" applyBorder="1"/>
    <xf numFmtId="9" fontId="0" fillId="0" borderId="0" xfId="2" applyFont="1" applyFill="1"/>
    <xf numFmtId="164" fontId="4" fillId="0" borderId="0" xfId="1" applyNumberFormat="1" applyFont="1" applyFill="1"/>
    <xf numFmtId="164" fontId="5" fillId="0" borderId="0" xfId="1" applyNumberFormat="1" applyFont="1" applyFill="1"/>
    <xf numFmtId="164" fontId="1" fillId="0" borderId="0" xfId="1" applyNumberFormat="1" applyFont="1" applyFill="1"/>
    <xf numFmtId="164" fontId="6" fillId="0" borderId="0" xfId="1" applyNumberFormat="1" applyFont="1" applyFill="1"/>
    <xf numFmtId="164" fontId="0" fillId="3" borderId="0" xfId="1" applyNumberFormat="1" applyFont="1" applyFill="1"/>
    <xf numFmtId="164" fontId="0" fillId="4" borderId="8" xfId="1" applyNumberFormat="1" applyFont="1" applyFill="1" applyBorder="1"/>
    <xf numFmtId="164" fontId="0" fillId="4" borderId="12" xfId="1" applyNumberFormat="1" applyFont="1" applyFill="1" applyBorder="1"/>
    <xf numFmtId="164" fontId="0" fillId="0" borderId="8" xfId="1" quotePrefix="1" applyNumberFormat="1" applyFont="1" applyBorder="1"/>
    <xf numFmtId="164" fontId="3" fillId="0" borderId="0" xfId="1" applyNumberFormat="1" applyFont="1" applyAlignment="1">
      <alignment horizontal="center"/>
    </xf>
    <xf numFmtId="164" fontId="2" fillId="0" borderId="7" xfId="1" applyNumberFormat="1" applyFont="1" applyBorder="1"/>
    <xf numFmtId="164" fontId="8" fillId="0" borderId="6" xfId="1" applyNumberFormat="1" applyFont="1" applyBorder="1"/>
    <xf numFmtId="164" fontId="2" fillId="0" borderId="15" xfId="1" applyNumberFormat="1" applyFont="1" applyBorder="1"/>
    <xf numFmtId="164" fontId="2" fillId="0" borderId="11" xfId="1" applyNumberFormat="1" applyFont="1" applyBorder="1"/>
    <xf numFmtId="164" fontId="2" fillId="4" borderId="0" xfId="1" applyNumberFormat="1" applyFont="1" applyFill="1"/>
    <xf numFmtId="164" fontId="2" fillId="0" borderId="0" xfId="1" applyNumberFormat="1" applyFont="1" applyAlignment="1">
      <alignment horizontal="right"/>
    </xf>
    <xf numFmtId="164" fontId="2" fillId="0" borderId="3" xfId="1" applyNumberFormat="1" applyFont="1" applyBorder="1" applyAlignment="1">
      <alignment horizontal="right"/>
    </xf>
    <xf numFmtId="9" fontId="2" fillId="0" borderId="0" xfId="2" applyFont="1" applyAlignment="1">
      <alignment horizontal="right"/>
    </xf>
    <xf numFmtId="164" fontId="3" fillId="0" borderId="1" xfId="1" applyNumberFormat="1" applyFont="1" applyBorder="1" applyAlignment="1">
      <alignment horizontal="center"/>
    </xf>
    <xf numFmtId="164" fontId="2" fillId="4" borderId="0" xfId="1" applyNumberFormat="1" applyFont="1" applyFill="1" applyBorder="1"/>
    <xf numFmtId="164" fontId="2" fillId="0" borderId="9" xfId="1" applyNumberFormat="1" applyFont="1" applyBorder="1"/>
    <xf numFmtId="164" fontId="3" fillId="0" borderId="1" xfId="1" applyNumberFormat="1" applyFont="1" applyBorder="1"/>
    <xf numFmtId="164" fontId="8" fillId="0" borderId="7" xfId="1" applyNumberFormat="1" applyFont="1" applyBorder="1"/>
    <xf numFmtId="164" fontId="8" fillId="0" borderId="11" xfId="1" applyNumberFormat="1" applyFont="1" applyBorder="1"/>
    <xf numFmtId="164" fontId="3" fillId="0" borderId="0" xfId="1" applyNumberFormat="1" applyFont="1" applyBorder="1"/>
    <xf numFmtId="9" fontId="2" fillId="0" borderId="0" xfId="2" applyFont="1"/>
    <xf numFmtId="43" fontId="2" fillId="0" borderId="0" xfId="1" applyFont="1"/>
    <xf numFmtId="164" fontId="2" fillId="0" borderId="10" xfId="1" applyNumberFormat="1" applyFont="1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left" wrapText="1"/>
    </xf>
    <xf numFmtId="164" fontId="2" fillId="0" borderId="0" xfId="1" applyNumberFormat="1" applyFont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left" wrapText="1"/>
    </xf>
    <xf numFmtId="9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E613B-BBAA-4AF4-9AFD-6ED4A548109E}">
  <dimension ref="A1:D38"/>
  <sheetViews>
    <sheetView topLeftCell="A7" zoomScale="118" zoomScaleNormal="118" workbookViewId="0">
      <selection activeCell="A17" sqref="A17"/>
    </sheetView>
  </sheetViews>
  <sheetFormatPr defaultRowHeight="15" x14ac:dyDescent="0.25"/>
  <cols>
    <col min="1" max="1" width="45.5703125" style="3" bestFit="1" customWidth="1"/>
    <col min="2" max="4" width="9.5703125" style="3" customWidth="1"/>
    <col min="5" max="16384" width="9.140625" style="3"/>
  </cols>
  <sheetData>
    <row r="1" spans="1:4" x14ac:dyDescent="0.25">
      <c r="A1" s="5" t="s">
        <v>241</v>
      </c>
    </row>
    <row r="2" spans="1:4" x14ac:dyDescent="0.25">
      <c r="A2" s="5" t="s">
        <v>323</v>
      </c>
    </row>
    <row r="3" spans="1:4" x14ac:dyDescent="0.25">
      <c r="A3" s="5" t="s">
        <v>245</v>
      </c>
    </row>
    <row r="4" spans="1:4" x14ac:dyDescent="0.25">
      <c r="A4" s="5" t="s">
        <v>0</v>
      </c>
    </row>
    <row r="6" spans="1:4" s="5" customFormat="1" x14ac:dyDescent="0.25">
      <c r="A6" s="12" t="s">
        <v>2</v>
      </c>
      <c r="B6" s="13"/>
      <c r="C6" s="14"/>
      <c r="D6" s="15"/>
    </row>
    <row r="7" spans="1:4" x14ac:dyDescent="0.25">
      <c r="A7" s="1" t="s">
        <v>16</v>
      </c>
      <c r="B7" s="2"/>
      <c r="C7" s="10">
        <f>23437-8100</f>
        <v>15337</v>
      </c>
      <c r="D7" s="6"/>
    </row>
    <row r="8" spans="1:4" x14ac:dyDescent="0.25">
      <c r="A8" s="18" t="s">
        <v>17</v>
      </c>
      <c r="B8" s="2"/>
      <c r="C8" s="10"/>
      <c r="D8" s="6"/>
    </row>
    <row r="9" spans="1:4" x14ac:dyDescent="0.25">
      <c r="A9" s="18" t="s">
        <v>33</v>
      </c>
      <c r="B9" s="2"/>
      <c r="C9" s="10">
        <v>8100</v>
      </c>
      <c r="D9" s="6"/>
    </row>
    <row r="10" spans="1:4" x14ac:dyDescent="0.25">
      <c r="A10" s="18" t="s">
        <v>35</v>
      </c>
      <c r="B10" s="2"/>
      <c r="C10" s="10">
        <v>1750</v>
      </c>
      <c r="D10" s="6"/>
    </row>
    <row r="11" spans="1:4" x14ac:dyDescent="0.25">
      <c r="A11" s="18" t="s">
        <v>249</v>
      </c>
      <c r="B11" s="2"/>
      <c r="C11" s="10">
        <v>200</v>
      </c>
      <c r="D11" s="6"/>
    </row>
    <row r="12" spans="1:4" x14ac:dyDescent="0.25">
      <c r="A12" s="18" t="s">
        <v>37</v>
      </c>
      <c r="B12" s="2"/>
      <c r="C12" s="10">
        <f>-'CF01.1'!G15</f>
        <v>-2750</v>
      </c>
      <c r="D12" s="6"/>
    </row>
    <row r="13" spans="1:4" x14ac:dyDescent="0.25">
      <c r="A13" s="18" t="s">
        <v>38</v>
      </c>
      <c r="B13" s="2"/>
      <c r="C13" s="10">
        <f>'CF01.1'!I9</f>
        <v>35890</v>
      </c>
      <c r="D13" s="6"/>
    </row>
    <row r="14" spans="1:4" x14ac:dyDescent="0.25">
      <c r="A14" s="1"/>
      <c r="B14" s="2"/>
      <c r="C14" s="10"/>
      <c r="D14" s="6"/>
    </row>
    <row r="15" spans="1:4" x14ac:dyDescent="0.25">
      <c r="A15" s="1" t="s">
        <v>18</v>
      </c>
      <c r="B15" s="2"/>
      <c r="C15" s="17">
        <f>SUM(C7:C14)</f>
        <v>58527</v>
      </c>
      <c r="D15" s="6"/>
    </row>
    <row r="16" spans="1:4" x14ac:dyDescent="0.25">
      <c r="A16" s="1" t="s">
        <v>243</v>
      </c>
      <c r="B16" s="2"/>
      <c r="C16" s="10">
        <f>-(106420-157439)</f>
        <v>51019</v>
      </c>
      <c r="D16" s="6"/>
    </row>
    <row r="17" spans="1:4" x14ac:dyDescent="0.25">
      <c r="A17" s="1" t="s">
        <v>242</v>
      </c>
      <c r="B17" s="2"/>
      <c r="C17" s="10">
        <f>-(200+110426-97830)</f>
        <v>-12796</v>
      </c>
      <c r="D17" s="6"/>
    </row>
    <row r="18" spans="1:4" x14ac:dyDescent="0.25">
      <c r="A18" s="1" t="s">
        <v>244</v>
      </c>
      <c r="B18" s="2"/>
      <c r="C18" s="10">
        <f>5400-420</f>
        <v>4980</v>
      </c>
      <c r="D18" s="6"/>
    </row>
    <row r="19" spans="1:4" x14ac:dyDescent="0.25">
      <c r="A19" s="1"/>
      <c r="B19" s="2"/>
      <c r="C19" s="10"/>
      <c r="D19" s="6"/>
    </row>
    <row r="20" spans="1:4" x14ac:dyDescent="0.25">
      <c r="A20" s="1" t="s">
        <v>3</v>
      </c>
      <c r="B20" s="2"/>
      <c r="C20" s="17">
        <f>SUM(C15:C19)</f>
        <v>101730</v>
      </c>
      <c r="D20" s="6"/>
    </row>
    <row r="21" spans="1:4" x14ac:dyDescent="0.25">
      <c r="A21" s="1" t="s">
        <v>4</v>
      </c>
      <c r="B21" s="2"/>
      <c r="C21" s="10">
        <f>-'CF01.1'!B14</f>
        <v>-1710</v>
      </c>
      <c r="D21" s="6"/>
    </row>
    <row r="22" spans="1:4" x14ac:dyDescent="0.25">
      <c r="A22" s="1" t="s">
        <v>5</v>
      </c>
      <c r="B22" s="2"/>
      <c r="C22" s="10">
        <f>-'CF01.1'!B3</f>
        <v>-5800</v>
      </c>
      <c r="D22" s="6"/>
    </row>
    <row r="23" spans="1:4" x14ac:dyDescent="0.25">
      <c r="A23" s="1" t="s">
        <v>6</v>
      </c>
      <c r="B23" s="2"/>
      <c r="C23" s="10">
        <f>-'CF01.1'!G19</f>
        <v>-6970</v>
      </c>
      <c r="D23" s="6"/>
    </row>
    <row r="24" spans="1:4" x14ac:dyDescent="0.25">
      <c r="A24" s="1" t="s">
        <v>7</v>
      </c>
      <c r="B24" s="2"/>
      <c r="C24" s="17"/>
      <c r="D24" s="6">
        <f>SUM(C20:C23)</f>
        <v>87250</v>
      </c>
    </row>
    <row r="25" spans="1:4" x14ac:dyDescent="0.25">
      <c r="A25" s="8" t="s">
        <v>8</v>
      </c>
      <c r="B25" s="2"/>
      <c r="C25" s="10"/>
      <c r="D25" s="6"/>
    </row>
    <row r="26" spans="1:4" x14ac:dyDescent="0.25">
      <c r="A26" s="1" t="s">
        <v>26</v>
      </c>
      <c r="B26" s="2"/>
      <c r="C26" s="10">
        <v>9500</v>
      </c>
      <c r="D26" s="6"/>
    </row>
    <row r="27" spans="1:4" x14ac:dyDescent="0.25">
      <c r="A27" s="1" t="s">
        <v>39</v>
      </c>
      <c r="B27" s="2"/>
      <c r="C27" s="10">
        <f>-'CF01.1'!G4</f>
        <v>-78470</v>
      </c>
      <c r="D27" s="6"/>
    </row>
    <row r="28" spans="1:4" x14ac:dyDescent="0.25">
      <c r="A28" s="1" t="s">
        <v>9</v>
      </c>
      <c r="B28" s="2"/>
      <c r="C28" s="17"/>
      <c r="D28" s="6">
        <f>SUM(C26:C27)</f>
        <v>-68970</v>
      </c>
    </row>
    <row r="29" spans="1:4" x14ac:dyDescent="0.25">
      <c r="A29" s="1"/>
      <c r="B29" s="2"/>
      <c r="C29" s="10"/>
      <c r="D29" s="6"/>
    </row>
    <row r="30" spans="1:4" x14ac:dyDescent="0.25">
      <c r="A30" s="8" t="s">
        <v>10</v>
      </c>
      <c r="B30" s="2"/>
      <c r="C30" s="10"/>
      <c r="D30" s="6"/>
    </row>
    <row r="31" spans="1:4" x14ac:dyDescent="0.25">
      <c r="A31" s="1" t="s">
        <v>20</v>
      </c>
      <c r="B31" s="2"/>
      <c r="C31" s="10">
        <f>-'CF01.1'!B9</f>
        <v>-1280</v>
      </c>
      <c r="D31" s="6"/>
    </row>
    <row r="32" spans="1:4" x14ac:dyDescent="0.25">
      <c r="A32" s="1" t="s">
        <v>30</v>
      </c>
      <c r="B32" s="2"/>
      <c r="C32" s="10">
        <v>10000</v>
      </c>
      <c r="D32" s="6"/>
    </row>
    <row r="33" spans="1:4" x14ac:dyDescent="0.25">
      <c r="A33" s="1" t="s">
        <v>40</v>
      </c>
      <c r="B33" s="2"/>
      <c r="C33" s="10">
        <f>-'CF01.1'!B19</f>
        <v>-20500</v>
      </c>
      <c r="D33" s="6"/>
    </row>
    <row r="34" spans="1:4" x14ac:dyDescent="0.25">
      <c r="A34" s="1" t="s">
        <v>11</v>
      </c>
      <c r="B34" s="2"/>
      <c r="C34" s="17"/>
      <c r="D34" s="6">
        <f>SUM(C31:C33)</f>
        <v>-11780</v>
      </c>
    </row>
    <row r="35" spans="1:4" x14ac:dyDescent="0.25">
      <c r="A35" s="1"/>
      <c r="B35" s="2"/>
      <c r="C35" s="10"/>
      <c r="D35" s="6"/>
    </row>
    <row r="36" spans="1:4" x14ac:dyDescent="0.25">
      <c r="A36" s="8" t="s">
        <v>12</v>
      </c>
      <c r="B36" s="2"/>
      <c r="C36" s="10"/>
      <c r="D36" s="11">
        <f>SUM(D6:D35)</f>
        <v>6500</v>
      </c>
    </row>
    <row r="37" spans="1:4" x14ac:dyDescent="0.25">
      <c r="A37" s="1" t="s">
        <v>13</v>
      </c>
      <c r="B37" s="2"/>
      <c r="C37" s="10"/>
      <c r="D37" s="6">
        <v>8900</v>
      </c>
    </row>
    <row r="38" spans="1:4" x14ac:dyDescent="0.25">
      <c r="A38" s="9" t="s">
        <v>14</v>
      </c>
      <c r="B38" s="4"/>
      <c r="C38" s="16"/>
      <c r="D38" s="7">
        <f>SUM(D36:D37)</f>
        <v>15400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D47EB-3845-448E-B9D1-B0E4AC81C451}">
  <dimension ref="A1:N21"/>
  <sheetViews>
    <sheetView zoomScale="112" zoomScaleNormal="112" workbookViewId="0">
      <selection activeCell="A4" sqref="A4"/>
    </sheetView>
  </sheetViews>
  <sheetFormatPr defaultRowHeight="15" x14ac:dyDescent="0.25"/>
  <cols>
    <col min="1" max="1" width="9.5703125" style="3" customWidth="1"/>
    <col min="2" max="2" width="8.5703125" style="3" customWidth="1"/>
    <col min="3" max="3" width="11.28515625" style="3" customWidth="1"/>
    <col min="4" max="4" width="8.5703125" style="3" customWidth="1"/>
    <col min="5" max="5" width="0.85546875" style="3" customWidth="1"/>
    <col min="6" max="6" width="10.140625" style="3" customWidth="1"/>
    <col min="7" max="7" width="8.5703125" style="3" customWidth="1"/>
    <col min="8" max="8" width="9.42578125" style="3" customWidth="1"/>
    <col min="9" max="9" width="8.5703125" style="3" customWidth="1"/>
    <col min="10" max="10" width="0.85546875" style="3" customWidth="1"/>
    <col min="11" max="11" width="12" style="3" bestFit="1" customWidth="1"/>
    <col min="12" max="12" width="8.5703125" style="3" customWidth="1"/>
    <col min="13" max="13" width="11.28515625" style="3" customWidth="1"/>
    <col min="14" max="14" width="8.5703125" style="3" customWidth="1"/>
    <col min="15" max="16384" width="9.140625" style="3"/>
  </cols>
  <sheetData>
    <row r="1" spans="1:14" x14ac:dyDescent="0.25">
      <c r="A1" s="5" t="s">
        <v>1</v>
      </c>
      <c r="F1" s="5"/>
      <c r="K1" s="5"/>
    </row>
    <row r="2" spans="1:14" x14ac:dyDescent="0.25">
      <c r="A2" s="82" t="s">
        <v>19</v>
      </c>
      <c r="B2" s="82"/>
      <c r="C2" s="82"/>
      <c r="D2" s="82"/>
      <c r="F2" s="82" t="s">
        <v>324</v>
      </c>
      <c r="G2" s="82"/>
      <c r="H2" s="82"/>
      <c r="I2" s="82"/>
    </row>
    <row r="3" spans="1:14" x14ac:dyDescent="0.25">
      <c r="A3" s="20" t="s">
        <v>27</v>
      </c>
      <c r="B3" s="21">
        <f>D3+D4-B4</f>
        <v>5800</v>
      </c>
      <c r="C3" s="19" t="s">
        <v>21</v>
      </c>
      <c r="D3" s="20">
        <v>5640</v>
      </c>
      <c r="F3" s="20" t="s">
        <v>21</v>
      </c>
      <c r="G3" s="21">
        <v>156930</v>
      </c>
      <c r="H3" s="19" t="s">
        <v>28</v>
      </c>
      <c r="I3" s="20">
        <v>15000</v>
      </c>
    </row>
    <row r="4" spans="1:14" x14ac:dyDescent="0.25">
      <c r="A4" s="2" t="s">
        <v>22</v>
      </c>
      <c r="B4" s="6">
        <v>3240</v>
      </c>
      <c r="C4" s="3" t="s">
        <v>23</v>
      </c>
      <c r="D4" s="3">
        <v>3400</v>
      </c>
      <c r="F4" s="2" t="s">
        <v>27</v>
      </c>
      <c r="G4" s="6">
        <f>I3+I4-G3</f>
        <v>78470</v>
      </c>
      <c r="H4" s="3" t="s">
        <v>22</v>
      </c>
      <c r="I4" s="3">
        <v>220400</v>
      </c>
    </row>
    <row r="5" spans="1:14" x14ac:dyDescent="0.25">
      <c r="B5" s="6"/>
      <c r="G5" s="6"/>
    </row>
    <row r="7" spans="1:14" x14ac:dyDescent="0.25">
      <c r="A7" s="82" t="s">
        <v>80</v>
      </c>
      <c r="B7" s="82"/>
      <c r="C7" s="82"/>
      <c r="D7" s="82"/>
      <c r="F7" s="82" t="s">
        <v>325</v>
      </c>
      <c r="G7" s="82"/>
      <c r="H7" s="82"/>
      <c r="I7" s="82"/>
      <c r="K7" s="3">
        <v>7500</v>
      </c>
    </row>
    <row r="8" spans="1:14" x14ac:dyDescent="0.25">
      <c r="A8" s="2" t="s">
        <v>23</v>
      </c>
      <c r="B8" s="21">
        <v>3400</v>
      </c>
      <c r="C8" s="19" t="s">
        <v>21</v>
      </c>
      <c r="D8" s="20">
        <v>114939</v>
      </c>
      <c r="F8" s="20" t="s">
        <v>28</v>
      </c>
      <c r="G8" s="21">
        <v>8250</v>
      </c>
      <c r="H8" s="19" t="s">
        <v>21</v>
      </c>
      <c r="I8" s="20">
        <v>101460</v>
      </c>
      <c r="K8" s="3">
        <f>15000/10*6/12</f>
        <v>750</v>
      </c>
    </row>
    <row r="9" spans="1:14" x14ac:dyDescent="0.25">
      <c r="A9" s="2" t="s">
        <v>24</v>
      </c>
      <c r="B9" s="6">
        <f>D8+D9-B8-B10</f>
        <v>1280</v>
      </c>
      <c r="C9" s="3" t="s">
        <v>41</v>
      </c>
      <c r="D9" s="3">
        <f>'CF01'!C7</f>
        <v>15337</v>
      </c>
      <c r="F9" s="2" t="s">
        <v>22</v>
      </c>
      <c r="G9" s="6">
        <v>129100</v>
      </c>
      <c r="H9" s="3" t="s">
        <v>38</v>
      </c>
      <c r="I9" s="3">
        <f>G8+G9-I8</f>
        <v>35890</v>
      </c>
      <c r="K9" s="20">
        <f>SUM(K7:K8)</f>
        <v>8250</v>
      </c>
    </row>
    <row r="10" spans="1:14" x14ac:dyDescent="0.25">
      <c r="A10" s="3" t="s">
        <v>22</v>
      </c>
      <c r="B10" s="6">
        <v>125596</v>
      </c>
      <c r="G10" s="6"/>
    </row>
    <row r="11" spans="1:14" x14ac:dyDescent="0.25">
      <c r="B11" s="6"/>
    </row>
    <row r="13" spans="1:14" x14ac:dyDescent="0.25">
      <c r="A13" s="82" t="s">
        <v>31</v>
      </c>
      <c r="B13" s="82"/>
      <c r="C13" s="82"/>
      <c r="D13" s="82"/>
      <c r="F13" s="82" t="s">
        <v>326</v>
      </c>
      <c r="G13" s="82"/>
      <c r="H13" s="82"/>
      <c r="I13" s="82"/>
      <c r="K13" s="82"/>
      <c r="L13" s="82"/>
      <c r="M13" s="82"/>
      <c r="N13" s="82"/>
    </row>
    <row r="14" spans="1:14" x14ac:dyDescent="0.25">
      <c r="A14" s="20" t="s">
        <v>27</v>
      </c>
      <c r="B14" s="21">
        <f>D14+D15-B15</f>
        <v>1710</v>
      </c>
      <c r="C14" s="19" t="s">
        <v>21</v>
      </c>
      <c r="D14" s="20">
        <v>1040</v>
      </c>
      <c r="F14" s="20" t="s">
        <v>25</v>
      </c>
      <c r="G14" s="21">
        <v>15000</v>
      </c>
      <c r="H14" s="19" t="s">
        <v>27</v>
      </c>
      <c r="I14" s="20">
        <v>9500</v>
      </c>
      <c r="K14" s="20"/>
      <c r="L14" s="21"/>
      <c r="M14" s="19"/>
      <c r="N14" s="20"/>
    </row>
    <row r="15" spans="1:14" x14ac:dyDescent="0.25">
      <c r="A15" s="2" t="s">
        <v>22</v>
      </c>
      <c r="B15" s="6">
        <v>7430</v>
      </c>
      <c r="C15" s="3" t="s">
        <v>32</v>
      </c>
      <c r="D15" s="3">
        <v>8100</v>
      </c>
      <c r="F15" s="2" t="s">
        <v>36</v>
      </c>
      <c r="G15" s="6">
        <f>I14+I15-G14</f>
        <v>2750</v>
      </c>
      <c r="H15" s="3" t="s">
        <v>327</v>
      </c>
      <c r="I15" s="3">
        <v>8250</v>
      </c>
      <c r="K15" s="2"/>
      <c r="L15" s="6"/>
    </row>
    <row r="16" spans="1:14" x14ac:dyDescent="0.25">
      <c r="B16" s="6"/>
      <c r="F16" s="2"/>
      <c r="G16" s="6"/>
      <c r="K16" s="2"/>
      <c r="L16" s="6"/>
    </row>
    <row r="18" spans="1:9" x14ac:dyDescent="0.25">
      <c r="A18" s="82" t="s">
        <v>29</v>
      </c>
      <c r="B18" s="82"/>
      <c r="C18" s="82"/>
      <c r="D18" s="82"/>
      <c r="F18" s="82" t="s">
        <v>34</v>
      </c>
      <c r="G18" s="82"/>
      <c r="H18" s="82"/>
      <c r="I18" s="82"/>
    </row>
    <row r="19" spans="1:9" x14ac:dyDescent="0.25">
      <c r="A19" s="20" t="s">
        <v>27</v>
      </c>
      <c r="B19" s="21">
        <f>D19+D20-B20</f>
        <v>20500</v>
      </c>
      <c r="C19" s="19" t="s">
        <v>21</v>
      </c>
      <c r="D19" s="20">
        <f>31400+11500</f>
        <v>42900</v>
      </c>
      <c r="F19" s="20" t="s">
        <v>27</v>
      </c>
      <c r="G19" s="21">
        <f>I19+I20-G20</f>
        <v>6970</v>
      </c>
      <c r="H19" s="19" t="s">
        <v>21</v>
      </c>
      <c r="I19" s="20">
        <v>26700</v>
      </c>
    </row>
    <row r="20" spans="1:9" x14ac:dyDescent="0.25">
      <c r="A20" s="2" t="s">
        <v>22</v>
      </c>
      <c r="B20" s="6">
        <f>30400+2000</f>
        <v>32400</v>
      </c>
      <c r="C20" s="3" t="s">
        <v>27</v>
      </c>
      <c r="D20" s="3">
        <v>10000</v>
      </c>
      <c r="F20" s="2" t="s">
        <v>22</v>
      </c>
      <c r="G20" s="6">
        <v>21480</v>
      </c>
      <c r="H20" s="3" t="s">
        <v>328</v>
      </c>
      <c r="I20" s="3">
        <v>1750</v>
      </c>
    </row>
    <row r="21" spans="1:9" x14ac:dyDescent="0.25">
      <c r="B21" s="6"/>
      <c r="G21" s="6"/>
    </row>
  </sheetData>
  <mergeCells count="9">
    <mergeCell ref="A13:D13"/>
    <mergeCell ref="F13:I13"/>
    <mergeCell ref="K13:N13"/>
    <mergeCell ref="A2:D2"/>
    <mergeCell ref="F2:I2"/>
    <mergeCell ref="A18:D18"/>
    <mergeCell ref="A7:D7"/>
    <mergeCell ref="F7:I7"/>
    <mergeCell ref="F18:I1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97AF-0B56-476F-AE2E-F14023198B03}">
  <dimension ref="A1:D39"/>
  <sheetViews>
    <sheetView topLeftCell="A22" workbookViewId="0">
      <selection activeCell="D38" sqref="D38"/>
    </sheetView>
  </sheetViews>
  <sheetFormatPr defaultRowHeight="15" x14ac:dyDescent="0.25"/>
  <cols>
    <col min="1" max="1" width="45.5703125" style="3" bestFit="1" customWidth="1"/>
    <col min="2" max="2" width="9.140625" style="3"/>
    <col min="3" max="4" width="13.5703125" style="3" customWidth="1"/>
    <col min="5" max="16384" width="9.140625" style="3"/>
  </cols>
  <sheetData>
    <row r="1" spans="1:4" x14ac:dyDescent="0.25">
      <c r="A1" s="5" t="s">
        <v>246</v>
      </c>
    </row>
    <row r="2" spans="1:4" x14ac:dyDescent="0.25">
      <c r="A2" s="5" t="s">
        <v>15</v>
      </c>
    </row>
    <row r="3" spans="1:4" x14ac:dyDescent="0.25">
      <c r="A3" s="5" t="s">
        <v>247</v>
      </c>
    </row>
    <row r="4" spans="1:4" x14ac:dyDescent="0.25">
      <c r="A4" s="5" t="s">
        <v>0</v>
      </c>
    </row>
    <row r="6" spans="1:4" s="5" customFormat="1" x14ac:dyDescent="0.25">
      <c r="A6" s="12" t="s">
        <v>2</v>
      </c>
      <c r="B6" s="13"/>
      <c r="C6" s="14"/>
      <c r="D6" s="15"/>
    </row>
    <row r="7" spans="1:4" x14ac:dyDescent="0.25">
      <c r="A7" s="1" t="s">
        <v>16</v>
      </c>
      <c r="B7" s="2"/>
      <c r="C7" s="10"/>
      <c r="D7" s="6"/>
    </row>
    <row r="8" spans="1:4" x14ac:dyDescent="0.25">
      <c r="A8" s="18" t="s">
        <v>17</v>
      </c>
      <c r="B8" s="2"/>
      <c r="C8" s="10"/>
      <c r="D8" s="6"/>
    </row>
    <row r="9" spans="1:4" x14ac:dyDescent="0.25">
      <c r="A9" s="18" t="s">
        <v>33</v>
      </c>
      <c r="B9" s="2"/>
      <c r="C9" s="10"/>
      <c r="D9" s="6"/>
    </row>
    <row r="10" spans="1:4" x14ac:dyDescent="0.25">
      <c r="A10" s="18" t="s">
        <v>35</v>
      </c>
      <c r="B10" s="2"/>
      <c r="C10" s="10"/>
      <c r="D10" s="6"/>
    </row>
    <row r="11" spans="1:4" x14ac:dyDescent="0.25">
      <c r="A11" s="18" t="s">
        <v>248</v>
      </c>
      <c r="B11" s="2"/>
      <c r="C11" s="10"/>
      <c r="D11" s="6"/>
    </row>
    <row r="12" spans="1:4" x14ac:dyDescent="0.25">
      <c r="A12" s="18" t="s">
        <v>38</v>
      </c>
      <c r="B12" s="2"/>
      <c r="C12" s="10"/>
      <c r="D12" s="6"/>
    </row>
    <row r="13" spans="1:4" x14ac:dyDescent="0.25">
      <c r="A13" s="1"/>
      <c r="B13" s="2"/>
      <c r="C13" s="10"/>
      <c r="D13" s="6"/>
    </row>
    <row r="14" spans="1:4" x14ac:dyDescent="0.25">
      <c r="A14" s="1" t="s">
        <v>18</v>
      </c>
      <c r="B14" s="2"/>
      <c r="C14" s="17">
        <f>SUM(C7:C13)</f>
        <v>0</v>
      </c>
      <c r="D14" s="6"/>
    </row>
    <row r="15" spans="1:4" x14ac:dyDescent="0.25">
      <c r="A15" s="1" t="s">
        <v>243</v>
      </c>
      <c r="B15" s="2"/>
      <c r="C15" s="10"/>
      <c r="D15" s="6"/>
    </row>
    <row r="16" spans="1:4" x14ac:dyDescent="0.25">
      <c r="A16" s="1" t="s">
        <v>242</v>
      </c>
      <c r="B16" s="2"/>
      <c r="C16" s="10"/>
      <c r="D16" s="6"/>
    </row>
    <row r="17" spans="1:4" x14ac:dyDescent="0.25">
      <c r="A17" s="1" t="s">
        <v>244</v>
      </c>
      <c r="B17" s="2"/>
      <c r="C17" s="10"/>
      <c r="D17" s="6"/>
    </row>
    <row r="18" spans="1:4" x14ac:dyDescent="0.25">
      <c r="A18" s="1"/>
      <c r="B18" s="2"/>
      <c r="C18" s="10"/>
      <c r="D18" s="6"/>
    </row>
    <row r="19" spans="1:4" x14ac:dyDescent="0.25">
      <c r="A19" s="1" t="s">
        <v>3</v>
      </c>
      <c r="B19" s="2"/>
      <c r="C19" s="17">
        <f>SUM(C14:C18)</f>
        <v>0</v>
      </c>
      <c r="D19" s="6"/>
    </row>
    <row r="20" spans="1:4" x14ac:dyDescent="0.25">
      <c r="A20" s="1" t="s">
        <v>4</v>
      </c>
      <c r="B20" s="2"/>
      <c r="C20" s="10"/>
      <c r="D20" s="6"/>
    </row>
    <row r="21" spans="1:4" x14ac:dyDescent="0.25">
      <c r="A21" s="1" t="s">
        <v>5</v>
      </c>
      <c r="B21" s="2"/>
      <c r="C21" s="10"/>
      <c r="D21" s="6"/>
    </row>
    <row r="22" spans="1:4" x14ac:dyDescent="0.25">
      <c r="A22" s="1" t="s">
        <v>6</v>
      </c>
      <c r="B22" s="2"/>
      <c r="C22" s="10"/>
      <c r="D22" s="6"/>
    </row>
    <row r="23" spans="1:4" x14ac:dyDescent="0.25">
      <c r="A23" s="1" t="s">
        <v>7</v>
      </c>
      <c r="B23" s="2"/>
      <c r="C23" s="17"/>
      <c r="D23" s="6">
        <f>SUM(C19:C22)</f>
        <v>0</v>
      </c>
    </row>
    <row r="24" spans="1:4" x14ac:dyDescent="0.25">
      <c r="A24" s="8" t="s">
        <v>8</v>
      </c>
      <c r="B24" s="2"/>
      <c r="C24" s="10"/>
      <c r="D24" s="6"/>
    </row>
    <row r="25" spans="1:4" x14ac:dyDescent="0.25">
      <c r="A25" s="1" t="s">
        <v>26</v>
      </c>
      <c r="B25" s="2"/>
      <c r="C25" s="10"/>
      <c r="D25" s="6"/>
    </row>
    <row r="26" spans="1:4" x14ac:dyDescent="0.25">
      <c r="A26" s="1" t="s">
        <v>39</v>
      </c>
      <c r="B26" s="2"/>
      <c r="C26" s="10"/>
      <c r="D26" s="6"/>
    </row>
    <row r="27" spans="1:4" x14ac:dyDescent="0.25">
      <c r="A27" s="1"/>
      <c r="B27" s="2"/>
      <c r="C27" s="10"/>
      <c r="D27" s="6"/>
    </row>
    <row r="28" spans="1:4" x14ac:dyDescent="0.25">
      <c r="A28" s="1" t="s">
        <v>9</v>
      </c>
      <c r="B28" s="2"/>
      <c r="C28" s="17"/>
      <c r="D28" s="6">
        <f>SUM(C25:C27)</f>
        <v>0</v>
      </c>
    </row>
    <row r="29" spans="1:4" x14ac:dyDescent="0.25">
      <c r="A29" s="1"/>
      <c r="B29" s="2"/>
      <c r="C29" s="10"/>
      <c r="D29" s="6"/>
    </row>
    <row r="30" spans="1:4" x14ac:dyDescent="0.25">
      <c r="A30" s="8" t="s">
        <v>10</v>
      </c>
      <c r="B30" s="2"/>
      <c r="C30" s="10"/>
      <c r="D30" s="6"/>
    </row>
    <row r="31" spans="1:4" x14ac:dyDescent="0.25">
      <c r="A31" s="1" t="s">
        <v>20</v>
      </c>
      <c r="B31" s="2"/>
      <c r="C31" s="10"/>
      <c r="D31" s="6"/>
    </row>
    <row r="32" spans="1:4" x14ac:dyDescent="0.25">
      <c r="A32" s="1" t="s">
        <v>30</v>
      </c>
      <c r="B32" s="2"/>
      <c r="C32" s="10"/>
      <c r="D32" s="6"/>
    </row>
    <row r="33" spans="1:4" x14ac:dyDescent="0.25">
      <c r="A33" s="1" t="s">
        <v>40</v>
      </c>
      <c r="B33" s="2"/>
      <c r="C33" s="10"/>
      <c r="D33" s="6"/>
    </row>
    <row r="34" spans="1:4" x14ac:dyDescent="0.25">
      <c r="A34" s="1"/>
      <c r="B34" s="2"/>
      <c r="C34" s="10"/>
      <c r="D34" s="6"/>
    </row>
    <row r="35" spans="1:4" x14ac:dyDescent="0.25">
      <c r="A35" s="1" t="s">
        <v>11</v>
      </c>
      <c r="B35" s="2"/>
      <c r="C35" s="17"/>
      <c r="D35" s="6">
        <f>SUM(C31:C34)</f>
        <v>0</v>
      </c>
    </row>
    <row r="36" spans="1:4" x14ac:dyDescent="0.25">
      <c r="A36" s="1"/>
      <c r="B36" s="2"/>
      <c r="C36" s="10"/>
      <c r="D36" s="6"/>
    </row>
    <row r="37" spans="1:4" x14ac:dyDescent="0.25">
      <c r="A37" s="8" t="s">
        <v>12</v>
      </c>
      <c r="B37" s="2"/>
      <c r="C37" s="10"/>
      <c r="D37" s="11">
        <f>SUM(D6:D36)</f>
        <v>0</v>
      </c>
    </row>
    <row r="38" spans="1:4" x14ac:dyDescent="0.25">
      <c r="A38" s="1" t="s">
        <v>13</v>
      </c>
      <c r="B38" s="2"/>
      <c r="C38" s="10"/>
      <c r="D38" s="6"/>
    </row>
    <row r="39" spans="1:4" x14ac:dyDescent="0.25">
      <c r="A39" s="9" t="s">
        <v>14</v>
      </c>
      <c r="B39" s="4"/>
      <c r="C39" s="16"/>
      <c r="D39" s="7">
        <f>SUM(D37:D38)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3DDFD-E5F5-4C55-A3AF-A69A4F8EFEA3}">
  <dimension ref="A1:N18"/>
  <sheetViews>
    <sheetView workbookViewId="0">
      <selection activeCell="A2" sqref="A2:XFD19"/>
    </sheetView>
  </sheetViews>
  <sheetFormatPr defaultRowHeight="15" x14ac:dyDescent="0.25"/>
  <cols>
    <col min="1" max="1" width="12" style="3" bestFit="1" customWidth="1"/>
    <col min="2" max="2" width="8.5703125" style="3" customWidth="1"/>
    <col min="3" max="3" width="11.28515625" style="3" customWidth="1"/>
    <col min="4" max="4" width="8.5703125" style="3" customWidth="1"/>
    <col min="5" max="5" width="0.85546875" style="3" customWidth="1"/>
    <col min="6" max="6" width="12" style="3" bestFit="1" customWidth="1"/>
    <col min="7" max="7" width="8.5703125" style="3" customWidth="1"/>
    <col min="8" max="8" width="11.28515625" style="3" customWidth="1"/>
    <col min="9" max="9" width="8.5703125" style="3" customWidth="1"/>
    <col min="10" max="10" width="0.85546875" style="3" customWidth="1"/>
    <col min="11" max="11" width="12" style="3" bestFit="1" customWidth="1"/>
    <col min="12" max="12" width="8.5703125" style="3" customWidth="1"/>
    <col min="13" max="13" width="11.28515625" style="3" customWidth="1"/>
    <col min="14" max="14" width="8.5703125" style="3" customWidth="1"/>
    <col min="15" max="16384" width="9.140625" style="3"/>
  </cols>
  <sheetData>
    <row r="1" spans="1:14" x14ac:dyDescent="0.25">
      <c r="A1" s="5" t="s">
        <v>1</v>
      </c>
      <c r="F1" s="5"/>
      <c r="K1" s="5"/>
    </row>
    <row r="2" spans="1:14" x14ac:dyDescent="0.25">
      <c r="A2" s="82"/>
      <c r="B2" s="82"/>
      <c r="C2" s="82"/>
      <c r="D2" s="82"/>
      <c r="F2" s="82"/>
      <c r="G2" s="82"/>
      <c r="H2" s="82"/>
      <c r="I2" s="82"/>
      <c r="K2" s="82"/>
      <c r="L2" s="82"/>
      <c r="M2" s="82"/>
      <c r="N2" s="82"/>
    </row>
    <row r="3" spans="1:14" x14ac:dyDescent="0.25">
      <c r="A3" s="20"/>
      <c r="B3" s="21"/>
      <c r="C3" s="19"/>
      <c r="D3" s="20"/>
      <c r="F3" s="20"/>
      <c r="G3" s="21"/>
      <c r="H3" s="19"/>
      <c r="I3" s="20"/>
      <c r="K3" s="20"/>
      <c r="L3" s="21"/>
      <c r="M3" s="19"/>
      <c r="N3" s="20"/>
    </row>
    <row r="4" spans="1:14" x14ac:dyDescent="0.25">
      <c r="A4" s="2"/>
      <c r="B4" s="6"/>
      <c r="F4" s="2"/>
      <c r="G4" s="6"/>
      <c r="K4" s="2"/>
      <c r="L4" s="6"/>
    </row>
    <row r="5" spans="1:14" x14ac:dyDescent="0.25">
      <c r="A5" s="2"/>
      <c r="B5" s="6"/>
      <c r="F5" s="2"/>
      <c r="G5" s="6"/>
      <c r="L5" s="6"/>
    </row>
    <row r="6" spans="1:14" x14ac:dyDescent="0.25">
      <c r="B6" s="6"/>
      <c r="G6" s="6"/>
    </row>
    <row r="8" spans="1:14" x14ac:dyDescent="0.25">
      <c r="A8" s="82"/>
      <c r="B8" s="82"/>
      <c r="C8" s="82"/>
      <c r="D8" s="82"/>
      <c r="F8" s="82"/>
      <c r="G8" s="82"/>
      <c r="H8" s="82"/>
      <c r="I8" s="82"/>
      <c r="K8" s="82"/>
      <c r="L8" s="82"/>
      <c r="M8" s="82"/>
      <c r="N8" s="82"/>
    </row>
    <row r="9" spans="1:14" x14ac:dyDescent="0.25">
      <c r="A9" s="2"/>
      <c r="B9" s="21"/>
      <c r="C9" s="19"/>
      <c r="D9" s="20"/>
      <c r="F9" s="20"/>
      <c r="G9" s="21"/>
      <c r="H9" s="19"/>
      <c r="I9" s="20"/>
      <c r="K9" s="20"/>
      <c r="L9" s="21"/>
      <c r="M9" s="19"/>
      <c r="N9" s="20"/>
    </row>
    <row r="10" spans="1:14" x14ac:dyDescent="0.25">
      <c r="A10" s="2"/>
      <c r="B10" s="6"/>
      <c r="F10" s="2"/>
      <c r="G10" s="6"/>
      <c r="K10" s="2"/>
      <c r="L10" s="6"/>
    </row>
    <row r="11" spans="1:14" x14ac:dyDescent="0.25">
      <c r="B11" s="6"/>
      <c r="G11" s="6"/>
      <c r="L11" s="6"/>
    </row>
    <row r="12" spans="1:14" x14ac:dyDescent="0.25">
      <c r="B12" s="6"/>
    </row>
    <row r="14" spans="1:14" x14ac:dyDescent="0.25">
      <c r="A14" s="82"/>
      <c r="B14" s="82"/>
      <c r="C14" s="82"/>
      <c r="D14" s="82"/>
      <c r="F14" s="82"/>
      <c r="G14" s="82"/>
      <c r="H14" s="82"/>
      <c r="I14" s="82"/>
      <c r="K14" s="82"/>
      <c r="L14" s="82"/>
      <c r="M14" s="82"/>
      <c r="N14" s="82"/>
    </row>
    <row r="15" spans="1:14" x14ac:dyDescent="0.25">
      <c r="A15" s="20"/>
      <c r="B15" s="21"/>
      <c r="C15" s="19"/>
      <c r="D15" s="20"/>
      <c r="F15" s="20"/>
      <c r="G15" s="21"/>
      <c r="H15" s="19"/>
      <c r="I15" s="20"/>
      <c r="K15" s="20"/>
      <c r="L15" s="21"/>
      <c r="M15" s="19"/>
      <c r="N15" s="20"/>
    </row>
    <row r="16" spans="1:14" x14ac:dyDescent="0.25">
      <c r="A16" s="2"/>
      <c r="B16" s="6"/>
      <c r="F16" s="2"/>
      <c r="G16" s="6"/>
      <c r="K16" s="2"/>
      <c r="L16" s="6"/>
    </row>
    <row r="17" spans="2:12" x14ac:dyDescent="0.25">
      <c r="B17" s="6"/>
      <c r="F17" s="2"/>
      <c r="G17" s="6"/>
      <c r="K17" s="2"/>
      <c r="L17" s="6"/>
    </row>
    <row r="18" spans="2:12" x14ac:dyDescent="0.25">
      <c r="G18" s="6"/>
      <c r="L18" s="6"/>
    </row>
  </sheetData>
  <mergeCells count="9">
    <mergeCell ref="A14:D14"/>
    <mergeCell ref="F14:I14"/>
    <mergeCell ref="K14:N14"/>
    <mergeCell ref="A2:D2"/>
    <mergeCell ref="F2:I2"/>
    <mergeCell ref="K2:N2"/>
    <mergeCell ref="A8:D8"/>
    <mergeCell ref="F8:I8"/>
    <mergeCell ref="K8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BF1F8-0D38-44F7-89DD-1FA1874DCBD7}">
  <dimension ref="A1:U50"/>
  <sheetViews>
    <sheetView topLeftCell="A6" zoomScaleNormal="100" workbookViewId="0">
      <pane xSplit="1" ySplit="1" topLeftCell="G13" activePane="bottomRight" state="frozen"/>
      <selection activeCell="A6" sqref="A6"/>
      <selection pane="topRight" activeCell="B6" sqref="B6"/>
      <selection pane="bottomLeft" activeCell="A7" sqref="A7"/>
      <selection pane="bottomRight" activeCell="J24" sqref="J24"/>
    </sheetView>
  </sheetViews>
  <sheetFormatPr defaultRowHeight="15" x14ac:dyDescent="0.25"/>
  <cols>
    <col min="1" max="1" width="35.140625" style="3" customWidth="1"/>
    <col min="2" max="2" width="10.140625" style="3" bestFit="1" customWidth="1"/>
    <col min="3" max="3" width="7.85546875" style="3" bestFit="1" customWidth="1"/>
    <col min="4" max="4" width="9.5703125" style="3" bestFit="1" customWidth="1"/>
    <col min="5" max="5" width="10.140625" style="3" bestFit="1" customWidth="1"/>
    <col min="6" max="6" width="7.85546875" style="3" bestFit="1" customWidth="1"/>
    <col min="7" max="7" width="7.28515625" style="3" customWidth="1"/>
    <col min="8" max="9" width="9" style="3" bestFit="1" customWidth="1"/>
    <col min="10" max="11" width="11.28515625" style="3" bestFit="1" customWidth="1"/>
    <col min="12" max="12" width="1.140625" style="69" customWidth="1"/>
    <col min="13" max="13" width="19.5703125" style="3" customWidth="1"/>
    <col min="14" max="14" width="9.5703125" style="70" bestFit="1" customWidth="1"/>
    <col min="15" max="15" width="9.7109375" style="70" customWidth="1"/>
    <col min="16" max="16" width="10.5703125" style="3" bestFit="1" customWidth="1"/>
    <col min="17" max="16384" width="9.140625" style="3"/>
  </cols>
  <sheetData>
    <row r="1" spans="1:21" x14ac:dyDescent="0.25">
      <c r="A1" s="5" t="s">
        <v>273</v>
      </c>
    </row>
    <row r="2" spans="1:21" x14ac:dyDescent="0.25">
      <c r="A2" s="5" t="s">
        <v>250</v>
      </c>
    </row>
    <row r="3" spans="1:21" x14ac:dyDescent="0.25">
      <c r="A3" s="5" t="s">
        <v>274</v>
      </c>
    </row>
    <row r="4" spans="1:21" x14ac:dyDescent="0.25">
      <c r="A4" s="5" t="s">
        <v>251</v>
      </c>
    </row>
    <row r="6" spans="1:21" x14ac:dyDescent="0.25">
      <c r="B6" s="64" t="s">
        <v>252</v>
      </c>
      <c r="C6" s="64" t="s">
        <v>253</v>
      </c>
      <c r="D6" s="64" t="s">
        <v>254</v>
      </c>
      <c r="E6" s="64" t="s">
        <v>255</v>
      </c>
      <c r="F6" s="64" t="s">
        <v>256</v>
      </c>
      <c r="G6" s="64" t="s">
        <v>257</v>
      </c>
      <c r="H6" s="64" t="s">
        <v>258</v>
      </c>
      <c r="I6" s="64" t="s">
        <v>259</v>
      </c>
    </row>
    <row r="7" spans="1:21" x14ac:dyDescent="0.25">
      <c r="A7" s="12" t="s">
        <v>260</v>
      </c>
      <c r="B7" s="20"/>
      <c r="C7" s="20"/>
      <c r="D7" s="20"/>
      <c r="E7" s="20"/>
      <c r="F7" s="20"/>
      <c r="G7" s="20"/>
      <c r="H7" s="20"/>
      <c r="I7" s="20"/>
      <c r="J7" s="11"/>
      <c r="K7" s="21"/>
      <c r="M7" s="5" t="s">
        <v>281</v>
      </c>
    </row>
    <row r="8" spans="1:21" x14ac:dyDescent="0.25">
      <c r="A8" s="1" t="s">
        <v>261</v>
      </c>
      <c r="B8" s="2"/>
      <c r="C8" s="2">
        <v>5000</v>
      </c>
      <c r="D8" s="2"/>
      <c r="E8" s="2"/>
      <c r="F8" s="2"/>
      <c r="G8" s="2"/>
      <c r="H8" s="2"/>
      <c r="I8" s="2"/>
      <c r="J8" s="65">
        <f>540000+240000+C8</f>
        <v>785000</v>
      </c>
      <c r="K8" s="6"/>
      <c r="M8" s="3" t="s">
        <v>282</v>
      </c>
      <c r="N8" s="70">
        <v>350000</v>
      </c>
    </row>
    <row r="9" spans="1:21" x14ac:dyDescent="0.25">
      <c r="A9" s="1" t="s">
        <v>275</v>
      </c>
      <c r="B9" s="2">
        <v>-350000</v>
      </c>
      <c r="C9" s="2"/>
      <c r="D9" s="2"/>
      <c r="E9" s="2"/>
      <c r="F9" s="2"/>
      <c r="G9" s="2"/>
      <c r="H9" s="2"/>
      <c r="I9" s="2"/>
      <c r="J9" s="65">
        <f>350000+B9</f>
        <v>0</v>
      </c>
      <c r="K9" s="6"/>
      <c r="M9" s="3" t="s">
        <v>329</v>
      </c>
      <c r="O9" s="70">
        <f>N8</f>
        <v>350000</v>
      </c>
      <c r="T9" s="80">
        <v>0.8</v>
      </c>
      <c r="U9" s="80">
        <v>0.2</v>
      </c>
    </row>
    <row r="10" spans="1:21" x14ac:dyDescent="0.25">
      <c r="A10" s="1" t="s">
        <v>276</v>
      </c>
      <c r="B10" s="2"/>
      <c r="C10" s="2"/>
      <c r="D10" s="2"/>
      <c r="E10" s="2"/>
      <c r="F10" s="2"/>
      <c r="G10" s="2"/>
      <c r="H10" s="2">
        <v>-40000</v>
      </c>
      <c r="I10" s="2"/>
      <c r="J10" s="65">
        <f>40000+H10</f>
        <v>0</v>
      </c>
      <c r="K10" s="6"/>
      <c r="S10" s="3" t="s">
        <v>48</v>
      </c>
      <c r="T10" s="3" t="s">
        <v>209</v>
      </c>
      <c r="U10" s="3" t="s">
        <v>334</v>
      </c>
    </row>
    <row r="11" spans="1:21" x14ac:dyDescent="0.25">
      <c r="A11" s="66" t="s">
        <v>330</v>
      </c>
      <c r="B11" s="2">
        <v>350000</v>
      </c>
      <c r="C11" s="2">
        <v>-5000</v>
      </c>
      <c r="D11" s="2">
        <v>100000</v>
      </c>
      <c r="E11" s="2">
        <v>-375000</v>
      </c>
      <c r="F11" s="2"/>
      <c r="G11" s="2"/>
      <c r="H11" s="2"/>
      <c r="I11" s="2">
        <v>-10000</v>
      </c>
      <c r="J11" s="65">
        <f>SUM(B11:I11)</f>
        <v>60000</v>
      </c>
      <c r="K11" s="6">
        <f>SUM(J8:J11)</f>
        <v>845000</v>
      </c>
      <c r="M11" s="5" t="s">
        <v>283</v>
      </c>
      <c r="R11" s="3" t="s">
        <v>332</v>
      </c>
      <c r="S11" s="3">
        <f>T11+U11</f>
        <v>11200</v>
      </c>
      <c r="T11" s="3">
        <v>10000</v>
      </c>
      <c r="U11" s="3">
        <v>1200</v>
      </c>
    </row>
    <row r="12" spans="1:21" x14ac:dyDescent="0.25">
      <c r="A12" s="1"/>
      <c r="B12" s="2"/>
      <c r="C12" s="2"/>
      <c r="D12" s="2"/>
      <c r="E12" s="2"/>
      <c r="F12" s="2"/>
      <c r="G12" s="2"/>
      <c r="H12" s="2"/>
      <c r="I12" s="2"/>
      <c r="J12" s="65"/>
      <c r="K12" s="6"/>
      <c r="M12" s="3" t="s">
        <v>331</v>
      </c>
      <c r="N12" s="70">
        <v>5000</v>
      </c>
    </row>
    <row r="13" spans="1:21" x14ac:dyDescent="0.25">
      <c r="A13" s="8" t="s">
        <v>262</v>
      </c>
      <c r="B13" s="2"/>
      <c r="C13" s="2"/>
      <c r="D13" s="2"/>
      <c r="E13" s="2"/>
      <c r="F13" s="2"/>
      <c r="G13" s="2"/>
      <c r="H13" s="2"/>
      <c r="I13" s="2"/>
      <c r="J13" s="65"/>
      <c r="K13" s="6"/>
      <c r="M13" s="3" t="s">
        <v>284</v>
      </c>
      <c r="O13" s="70">
        <f>N12</f>
        <v>5000</v>
      </c>
      <c r="R13" s="3" t="s">
        <v>333</v>
      </c>
      <c r="S13" s="3">
        <v>6000</v>
      </c>
      <c r="T13" s="3">
        <f>S13*T9</f>
        <v>4800</v>
      </c>
      <c r="U13" s="3">
        <f>S13*U9</f>
        <v>1200</v>
      </c>
    </row>
    <row r="14" spans="1:21" x14ac:dyDescent="0.25">
      <c r="A14" s="1" t="s">
        <v>340</v>
      </c>
      <c r="B14" s="2"/>
      <c r="C14" s="2"/>
      <c r="D14" s="2"/>
      <c r="E14" s="2"/>
      <c r="F14" s="2"/>
      <c r="G14" s="2">
        <v>-500</v>
      </c>
      <c r="H14" s="2"/>
      <c r="I14" s="2"/>
      <c r="J14" s="65">
        <f>117000+150000+G14</f>
        <v>266500</v>
      </c>
      <c r="K14" s="6"/>
    </row>
    <row r="15" spans="1:21" x14ac:dyDescent="0.25">
      <c r="A15" s="1" t="s">
        <v>263</v>
      </c>
      <c r="B15" s="2"/>
      <c r="C15" s="2"/>
      <c r="D15" s="2"/>
      <c r="E15" s="2"/>
      <c r="F15" s="2"/>
      <c r="G15" s="2"/>
      <c r="H15" s="2"/>
      <c r="I15" s="2"/>
      <c r="J15" s="65">
        <f>180000+90000</f>
        <v>270000</v>
      </c>
      <c r="K15" s="6"/>
      <c r="M15" s="5" t="s">
        <v>285</v>
      </c>
      <c r="R15" s="3" t="s">
        <v>335</v>
      </c>
      <c r="S15" s="3">
        <f>S11-S13</f>
        <v>5200</v>
      </c>
      <c r="T15" s="3">
        <f>T11-T13</f>
        <v>5200</v>
      </c>
      <c r="U15" s="3">
        <f>U11-U13</f>
        <v>0</v>
      </c>
    </row>
    <row r="16" spans="1:21" x14ac:dyDescent="0.25">
      <c r="A16" s="1" t="s">
        <v>277</v>
      </c>
      <c r="B16" s="2"/>
      <c r="C16" s="2"/>
      <c r="D16" s="2"/>
      <c r="E16" s="2"/>
      <c r="F16" s="2"/>
      <c r="G16" s="2"/>
      <c r="H16" s="2"/>
      <c r="I16" s="2"/>
      <c r="J16" s="65">
        <f>18000+90000</f>
        <v>108000</v>
      </c>
      <c r="K16" s="6">
        <f>SUM(J14:J16)</f>
        <v>644500</v>
      </c>
      <c r="M16" s="3" t="s">
        <v>282</v>
      </c>
      <c r="N16" s="70">
        <v>100000</v>
      </c>
    </row>
    <row r="17" spans="1:21" ht="15.75" thickBot="1" x14ac:dyDescent="0.3">
      <c r="A17" s="8" t="s">
        <v>264</v>
      </c>
      <c r="B17" s="2"/>
      <c r="C17" s="2"/>
      <c r="D17" s="2"/>
      <c r="E17" s="2"/>
      <c r="F17" s="2"/>
      <c r="G17" s="2"/>
      <c r="H17" s="2"/>
      <c r="I17" s="2"/>
      <c r="J17" s="65"/>
      <c r="K17" s="67">
        <f>SUM(K11:K16)</f>
        <v>1489500</v>
      </c>
      <c r="M17" s="3" t="s">
        <v>292</v>
      </c>
      <c r="O17" s="70">
        <f>N16</f>
        <v>100000</v>
      </c>
      <c r="T17" s="80">
        <v>0.8</v>
      </c>
      <c r="U17" s="80">
        <v>0.2</v>
      </c>
    </row>
    <row r="18" spans="1:21" ht="15.75" thickTop="1" x14ac:dyDescent="0.25">
      <c r="A18" s="8"/>
      <c r="B18" s="2"/>
      <c r="C18" s="2"/>
      <c r="D18" s="2"/>
      <c r="E18" s="2"/>
      <c r="F18" s="2"/>
      <c r="G18" s="2"/>
      <c r="H18" s="2"/>
      <c r="I18" s="2"/>
      <c r="J18" s="65"/>
      <c r="K18" s="6"/>
      <c r="S18" s="3" t="s">
        <v>48</v>
      </c>
      <c r="T18" s="3" t="s">
        <v>209</v>
      </c>
      <c r="U18" s="3" t="s">
        <v>336</v>
      </c>
    </row>
    <row r="19" spans="1:21" x14ac:dyDescent="0.25">
      <c r="A19" s="8" t="s">
        <v>265</v>
      </c>
      <c r="B19" s="2"/>
      <c r="C19" s="2"/>
      <c r="D19" s="2"/>
      <c r="E19" s="2"/>
      <c r="F19" s="2"/>
      <c r="G19" s="2"/>
      <c r="H19" s="2"/>
      <c r="I19" s="2"/>
      <c r="J19" s="65"/>
      <c r="K19" s="6"/>
      <c r="M19" s="5" t="s">
        <v>286</v>
      </c>
      <c r="R19" s="3" t="s">
        <v>332</v>
      </c>
      <c r="S19" s="3">
        <f>T19+U19</f>
        <v>11500</v>
      </c>
      <c r="T19" s="3">
        <v>10000</v>
      </c>
      <c r="U19" s="3">
        <v>1500</v>
      </c>
    </row>
    <row r="20" spans="1:21" x14ac:dyDescent="0.25">
      <c r="A20" s="1" t="s">
        <v>266</v>
      </c>
      <c r="B20" s="2"/>
      <c r="C20" s="2"/>
      <c r="D20" s="2"/>
      <c r="E20" s="2">
        <v>-300000</v>
      </c>
      <c r="F20" s="2"/>
      <c r="G20" s="2"/>
      <c r="H20" s="2"/>
      <c r="I20" s="2"/>
      <c r="J20" s="65">
        <f>700000+300000+E20</f>
        <v>700000</v>
      </c>
      <c r="K20" s="6"/>
      <c r="N20" s="70" t="s">
        <v>287</v>
      </c>
      <c r="O20" s="70" t="s">
        <v>288</v>
      </c>
      <c r="P20" s="3" t="s">
        <v>289</v>
      </c>
    </row>
    <row r="21" spans="1:21" x14ac:dyDescent="0.25">
      <c r="A21" s="1" t="s">
        <v>337</v>
      </c>
      <c r="B21" s="2"/>
      <c r="C21" s="2"/>
      <c r="D21" s="2"/>
      <c r="E21" s="2">
        <v>-75000</v>
      </c>
      <c r="F21" s="2">
        <v>-3000</v>
      </c>
      <c r="G21" s="2">
        <v>-500</v>
      </c>
      <c r="H21" s="2"/>
      <c r="I21" s="2">
        <v>-8000</v>
      </c>
      <c r="J21" s="65">
        <f>225000+90000+E21+F21+G21+I21</f>
        <v>228500</v>
      </c>
      <c r="K21" s="6"/>
      <c r="M21" s="3" t="s">
        <v>78</v>
      </c>
      <c r="N21" s="70">
        <v>300000</v>
      </c>
      <c r="P21" s="3">
        <v>300000</v>
      </c>
      <c r="R21" s="3" t="s">
        <v>333</v>
      </c>
      <c r="S21" s="3">
        <v>6000</v>
      </c>
      <c r="T21" s="3">
        <f>S21*T17</f>
        <v>4800</v>
      </c>
      <c r="U21" s="3">
        <f>S21*U17</f>
        <v>1200</v>
      </c>
    </row>
    <row r="22" spans="1:21" x14ac:dyDescent="0.25">
      <c r="A22" s="66" t="s">
        <v>267</v>
      </c>
      <c r="B22" s="2"/>
      <c r="C22" s="2"/>
      <c r="D22" s="2"/>
      <c r="E22" s="2"/>
      <c r="F22" s="2"/>
      <c r="G22" s="2"/>
      <c r="H22" s="2"/>
      <c r="I22" s="2"/>
      <c r="J22" s="11">
        <f>SUM(J20:J21)</f>
        <v>928500</v>
      </c>
      <c r="K22" s="6"/>
      <c r="M22" s="3" t="s">
        <v>80</v>
      </c>
      <c r="N22" s="70">
        <v>75000</v>
      </c>
      <c r="O22" s="70">
        <f>P22-N22</f>
        <v>15000</v>
      </c>
      <c r="P22" s="3">
        <v>90000</v>
      </c>
    </row>
    <row r="23" spans="1:21" x14ac:dyDescent="0.25">
      <c r="A23" s="66" t="s">
        <v>268</v>
      </c>
      <c r="B23" s="2"/>
      <c r="C23" s="2"/>
      <c r="D23" s="2">
        <v>100000</v>
      </c>
      <c r="E23" s="2"/>
      <c r="F23" s="2">
        <v>3000</v>
      </c>
      <c r="G23" s="2"/>
      <c r="H23" s="2"/>
      <c r="I23" s="2">
        <v>-2000</v>
      </c>
      <c r="J23" s="65">
        <f>SUM(D23:I23)</f>
        <v>101000</v>
      </c>
      <c r="K23" s="6">
        <f>SUM(J22:J23)</f>
        <v>1029500</v>
      </c>
      <c r="N23" s="71">
        <f>SUM(N21:N22)</f>
        <v>375000</v>
      </c>
      <c r="O23" s="71">
        <f t="shared" ref="O23:P23" si="0">SUM(O21:O22)</f>
        <v>15000</v>
      </c>
      <c r="P23" s="71">
        <f t="shared" si="0"/>
        <v>390000</v>
      </c>
      <c r="R23" s="3" t="s">
        <v>335</v>
      </c>
      <c r="S23" s="3">
        <f>S19-S21</f>
        <v>5500</v>
      </c>
      <c r="T23" s="3">
        <f>T19-T21</f>
        <v>5200</v>
      </c>
      <c r="U23" s="3">
        <f>U19-U21</f>
        <v>300</v>
      </c>
    </row>
    <row r="24" spans="1:21" x14ac:dyDescent="0.25">
      <c r="A24" s="1"/>
      <c r="B24" s="2"/>
      <c r="C24" s="2"/>
      <c r="D24" s="2"/>
      <c r="E24" s="2"/>
      <c r="F24" s="2"/>
      <c r="G24" s="2"/>
      <c r="H24" s="2"/>
      <c r="I24" s="2"/>
      <c r="J24" s="65"/>
      <c r="K24" s="6"/>
    </row>
    <row r="25" spans="1:21" x14ac:dyDescent="0.25">
      <c r="A25" s="8" t="s">
        <v>278</v>
      </c>
      <c r="B25" s="2"/>
      <c r="C25" s="2"/>
      <c r="D25" s="2"/>
      <c r="E25" s="2"/>
      <c r="F25" s="2"/>
      <c r="G25" s="2"/>
      <c r="H25" s="2"/>
      <c r="I25" s="2"/>
      <c r="J25" s="65"/>
      <c r="K25" s="6"/>
      <c r="M25" s="3" t="s">
        <v>290</v>
      </c>
      <c r="N25" s="70">
        <v>300000</v>
      </c>
    </row>
    <row r="26" spans="1:21" x14ac:dyDescent="0.25">
      <c r="A26" s="1" t="s">
        <v>279</v>
      </c>
      <c r="B26" s="2"/>
      <c r="C26" s="2"/>
      <c r="D26" s="2"/>
      <c r="E26" s="2"/>
      <c r="F26" s="2"/>
      <c r="G26" s="2"/>
      <c r="H26" s="2"/>
      <c r="I26" s="2"/>
      <c r="J26" s="65">
        <f>125000+44000</f>
        <v>169000</v>
      </c>
      <c r="K26" s="6"/>
      <c r="M26" s="3" t="s">
        <v>291</v>
      </c>
      <c r="N26" s="70">
        <v>75000</v>
      </c>
    </row>
    <row r="27" spans="1:21" x14ac:dyDescent="0.25">
      <c r="A27" s="1" t="s">
        <v>280</v>
      </c>
      <c r="B27" s="2"/>
      <c r="C27" s="2"/>
      <c r="D27" s="2"/>
      <c r="E27" s="2"/>
      <c r="F27" s="2"/>
      <c r="G27" s="2"/>
      <c r="H27" s="2">
        <v>-40000</v>
      </c>
      <c r="I27" s="2"/>
      <c r="J27" s="65">
        <f>100000+H27</f>
        <v>60000</v>
      </c>
      <c r="K27" s="6">
        <f>SUM(J26:J27)</f>
        <v>229000</v>
      </c>
      <c r="M27" s="3" t="s">
        <v>284</v>
      </c>
      <c r="O27" s="70">
        <f>N23</f>
        <v>375000</v>
      </c>
    </row>
    <row r="28" spans="1:21" x14ac:dyDescent="0.25">
      <c r="A28" s="1"/>
      <c r="B28" s="2"/>
      <c r="C28" s="2"/>
      <c r="D28" s="2"/>
      <c r="E28" s="2"/>
      <c r="F28" s="2"/>
      <c r="G28" s="2"/>
      <c r="H28" s="2"/>
      <c r="I28" s="2"/>
      <c r="J28" s="65"/>
      <c r="K28" s="6"/>
      <c r="N28" s="3"/>
      <c r="O28" s="3"/>
    </row>
    <row r="29" spans="1:21" x14ac:dyDescent="0.25">
      <c r="A29" s="8" t="s">
        <v>269</v>
      </c>
      <c r="B29" s="2"/>
      <c r="C29" s="2"/>
      <c r="D29" s="2"/>
      <c r="E29" s="2"/>
      <c r="F29" s="2"/>
      <c r="G29" s="2"/>
      <c r="H29" s="2"/>
      <c r="I29" s="2"/>
      <c r="J29" s="65"/>
      <c r="K29" s="6"/>
      <c r="M29" s="5" t="s">
        <v>338</v>
      </c>
    </row>
    <row r="30" spans="1:21" x14ac:dyDescent="0.25">
      <c r="A30" s="1" t="s">
        <v>270</v>
      </c>
      <c r="B30" s="2"/>
      <c r="C30" s="2"/>
      <c r="D30" s="2"/>
      <c r="E30" s="2"/>
      <c r="F30" s="2"/>
      <c r="G30" s="2"/>
      <c r="H30" s="2"/>
      <c r="I30" s="2"/>
      <c r="J30" s="65">
        <f>135000+25200</f>
        <v>160200</v>
      </c>
      <c r="K30" s="6"/>
    </row>
    <row r="31" spans="1:21" x14ac:dyDescent="0.25">
      <c r="A31" s="1" t="s">
        <v>271</v>
      </c>
      <c r="B31" s="2"/>
      <c r="C31" s="2"/>
      <c r="D31" s="2"/>
      <c r="E31" s="2"/>
      <c r="F31" s="2"/>
      <c r="G31" s="2"/>
      <c r="H31" s="2"/>
      <c r="I31" s="2"/>
      <c r="J31" s="65">
        <f>60000+10800</f>
        <v>70800</v>
      </c>
      <c r="K31" s="6">
        <f>SUM(J30:J31)</f>
        <v>231000</v>
      </c>
      <c r="M31" s="3" t="s">
        <v>291</v>
      </c>
      <c r="N31" s="70">
        <f>O23*0.2</f>
        <v>3000</v>
      </c>
    </row>
    <row r="32" spans="1:21" ht="15.75" thickBot="1" x14ac:dyDescent="0.3">
      <c r="A32" s="9" t="s">
        <v>272</v>
      </c>
      <c r="B32" s="4"/>
      <c r="C32" s="4"/>
      <c r="D32" s="4"/>
      <c r="E32" s="4"/>
      <c r="F32" s="4"/>
      <c r="G32" s="4"/>
      <c r="H32" s="4"/>
      <c r="I32" s="4"/>
      <c r="J32" s="68"/>
      <c r="K32" s="67">
        <f>SUM(K23:K31)</f>
        <v>1489500</v>
      </c>
      <c r="M32" s="3" t="s">
        <v>292</v>
      </c>
      <c r="O32" s="70">
        <f>N31</f>
        <v>3000</v>
      </c>
    </row>
    <row r="33" spans="13:16" ht="15.75" thickTop="1" x14ac:dyDescent="0.25"/>
    <row r="34" spans="13:16" x14ac:dyDescent="0.25">
      <c r="M34" s="5" t="s">
        <v>294</v>
      </c>
    </row>
    <row r="35" spans="13:16" x14ac:dyDescent="0.25">
      <c r="M35" s="3" t="s">
        <v>194</v>
      </c>
      <c r="N35" s="70">
        <f>9000/3</f>
        <v>3000</v>
      </c>
    </row>
    <row r="36" spans="13:16" x14ac:dyDescent="0.25">
      <c r="M36" s="3" t="s">
        <v>195</v>
      </c>
      <c r="N36" s="72">
        <v>0.2</v>
      </c>
      <c r="O36" s="70" t="s">
        <v>339</v>
      </c>
      <c r="P36" s="3" t="s">
        <v>199</v>
      </c>
    </row>
    <row r="37" spans="13:16" x14ac:dyDescent="0.25">
      <c r="M37" s="3" t="s">
        <v>197</v>
      </c>
      <c r="N37" s="71">
        <f>3000/120*20</f>
        <v>500</v>
      </c>
    </row>
    <row r="38" spans="13:16" x14ac:dyDescent="0.25">
      <c r="N38" s="85"/>
    </row>
    <row r="39" spans="13:16" x14ac:dyDescent="0.25">
      <c r="M39" s="3" t="s">
        <v>291</v>
      </c>
      <c r="N39" s="70">
        <f>N37</f>
        <v>500</v>
      </c>
    </row>
    <row r="40" spans="13:16" x14ac:dyDescent="0.25">
      <c r="M40" s="3" t="s">
        <v>293</v>
      </c>
      <c r="O40" s="70">
        <f>N39</f>
        <v>500</v>
      </c>
    </row>
    <row r="43" spans="13:16" x14ac:dyDescent="0.25">
      <c r="M43" s="5" t="s">
        <v>295</v>
      </c>
    </row>
    <row r="44" spans="13:16" x14ac:dyDescent="0.25">
      <c r="M44" s="3" t="s">
        <v>341</v>
      </c>
      <c r="N44" s="70">
        <v>40000</v>
      </c>
    </row>
    <row r="45" spans="13:16" x14ac:dyDescent="0.25">
      <c r="M45" s="3" t="s">
        <v>342</v>
      </c>
      <c r="O45" s="70">
        <v>40000</v>
      </c>
    </row>
    <row r="47" spans="13:16" x14ac:dyDescent="0.25">
      <c r="M47" s="5" t="s">
        <v>296</v>
      </c>
    </row>
    <row r="48" spans="13:16" x14ac:dyDescent="0.25">
      <c r="M48" s="3" t="s">
        <v>343</v>
      </c>
      <c r="N48" s="70">
        <v>8000</v>
      </c>
    </row>
    <row r="49" spans="13:15" x14ac:dyDescent="0.25">
      <c r="M49" s="3" t="s">
        <v>297</v>
      </c>
      <c r="N49" s="70">
        <v>2000</v>
      </c>
    </row>
    <row r="50" spans="13:15" x14ac:dyDescent="0.25">
      <c r="M50" s="3" t="s">
        <v>284</v>
      </c>
      <c r="O50" s="70">
        <f>10000</f>
        <v>10000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317B6-4647-4315-B46C-67F6EE6809D1}">
  <dimension ref="A1:L65"/>
  <sheetViews>
    <sheetView topLeftCell="A5" zoomScale="120" zoomScaleNormal="120" workbookViewId="0">
      <pane xSplit="1" ySplit="2" topLeftCell="B70" activePane="bottomRight" state="frozen"/>
      <selection activeCell="A5" sqref="A5"/>
      <selection pane="topRight" activeCell="B5" sqref="B5"/>
      <selection pane="bottomLeft" activeCell="A7" sqref="A7"/>
      <selection pane="bottomRight" activeCell="J59" sqref="J59:K65"/>
    </sheetView>
  </sheetViews>
  <sheetFormatPr defaultRowHeight="15" x14ac:dyDescent="0.25"/>
  <cols>
    <col min="1" max="1" width="42.7109375" style="3" customWidth="1"/>
    <col min="2" max="2" width="9" style="3" customWidth="1"/>
    <col min="3" max="4" width="9" style="3" bestFit="1" customWidth="1"/>
    <col min="5" max="5" width="7.28515625" style="3" customWidth="1"/>
    <col min="6" max="6" width="7.85546875" style="3" bestFit="1" customWidth="1"/>
    <col min="7" max="7" width="7.28515625" style="3" customWidth="1"/>
    <col min="8" max="8" width="11.85546875" style="3" bestFit="1" customWidth="1"/>
    <col min="9" max="9" width="1.28515625" style="69" customWidth="1"/>
    <col min="10" max="10" width="23.7109375" style="3" bestFit="1" customWidth="1"/>
    <col min="11" max="16384" width="9.140625" style="3"/>
  </cols>
  <sheetData>
    <row r="1" spans="1:11" x14ac:dyDescent="0.25">
      <c r="A1" s="5" t="s">
        <v>310</v>
      </c>
    </row>
    <row r="2" spans="1:11" x14ac:dyDescent="0.25">
      <c r="A2" s="5" t="s">
        <v>250</v>
      </c>
    </row>
    <row r="3" spans="1:11" x14ac:dyDescent="0.25">
      <c r="A3" s="5" t="s">
        <v>311</v>
      </c>
    </row>
    <row r="4" spans="1:11" x14ac:dyDescent="0.25">
      <c r="A4" s="5" t="s">
        <v>251</v>
      </c>
    </row>
    <row r="6" spans="1:11" x14ac:dyDescent="0.25">
      <c r="B6" s="73" t="s">
        <v>252</v>
      </c>
      <c r="C6" s="73" t="s">
        <v>253</v>
      </c>
      <c r="D6" s="73" t="s">
        <v>254</v>
      </c>
      <c r="E6" s="73" t="s">
        <v>255</v>
      </c>
      <c r="F6" s="73" t="s">
        <v>256</v>
      </c>
      <c r="G6" s="73" t="s">
        <v>257</v>
      </c>
      <c r="J6" s="5"/>
    </row>
    <row r="7" spans="1:11" s="2" customFormat="1" x14ac:dyDescent="0.25">
      <c r="A7" s="11" t="s">
        <v>298</v>
      </c>
      <c r="B7" s="11"/>
      <c r="C7" s="11"/>
      <c r="D7" s="11"/>
      <c r="E7" s="11"/>
      <c r="F7" s="11"/>
      <c r="G7" s="11"/>
      <c r="H7" s="11"/>
      <c r="I7" s="74"/>
      <c r="J7" s="79" t="s">
        <v>312</v>
      </c>
    </row>
    <row r="8" spans="1:11" s="2" customFormat="1" x14ac:dyDescent="0.25">
      <c r="A8" s="65" t="s">
        <v>299</v>
      </c>
      <c r="B8" s="65"/>
      <c r="C8" s="65"/>
      <c r="D8" s="65"/>
      <c r="E8" s="65"/>
      <c r="F8" s="65"/>
      <c r="G8" s="65"/>
      <c r="H8" s="65"/>
      <c r="I8" s="74"/>
      <c r="J8" s="19"/>
      <c r="K8" s="76" t="s">
        <v>183</v>
      </c>
    </row>
    <row r="9" spans="1:11" s="2" customFormat="1" x14ac:dyDescent="0.25">
      <c r="A9" s="65" t="s">
        <v>300</v>
      </c>
      <c r="B9" s="65"/>
      <c r="C9" s="65"/>
      <c r="D9" s="65"/>
      <c r="E9" s="65"/>
      <c r="F9" s="65"/>
      <c r="G9" s="65"/>
      <c r="H9" s="11">
        <f>SUM(H7:H8)</f>
        <v>0</v>
      </c>
      <c r="I9" s="74"/>
      <c r="J9" s="1" t="s">
        <v>313</v>
      </c>
      <c r="K9" s="65"/>
    </row>
    <row r="10" spans="1:11" s="2" customFormat="1" x14ac:dyDescent="0.25">
      <c r="A10" s="65" t="s">
        <v>301</v>
      </c>
      <c r="B10" s="65"/>
      <c r="C10" s="65"/>
      <c r="D10" s="65"/>
      <c r="E10" s="65"/>
      <c r="F10" s="65"/>
      <c r="G10" s="65"/>
      <c r="H10" s="65"/>
      <c r="I10" s="74"/>
      <c r="J10" s="1" t="s">
        <v>321</v>
      </c>
      <c r="K10" s="65"/>
    </row>
    <row r="11" spans="1:11" s="2" customFormat="1" x14ac:dyDescent="0.25">
      <c r="A11" s="65" t="s">
        <v>314</v>
      </c>
      <c r="B11" s="65"/>
      <c r="C11" s="65"/>
      <c r="D11" s="65"/>
      <c r="E11" s="65"/>
      <c r="F11" s="65"/>
      <c r="G11" s="65"/>
      <c r="H11" s="65"/>
      <c r="I11" s="74"/>
      <c r="J11" s="1"/>
      <c r="K11" s="65"/>
    </row>
    <row r="12" spans="1:11" s="2" customFormat="1" x14ac:dyDescent="0.25">
      <c r="A12" s="65" t="s">
        <v>315</v>
      </c>
      <c r="B12" s="65"/>
      <c r="C12" s="65"/>
      <c r="D12" s="65"/>
      <c r="E12" s="65"/>
      <c r="F12" s="65"/>
      <c r="G12" s="65"/>
      <c r="H12" s="65"/>
      <c r="I12" s="74"/>
      <c r="J12" s="1"/>
      <c r="K12" s="65"/>
    </row>
    <row r="13" spans="1:11" s="2" customFormat="1" x14ac:dyDescent="0.25">
      <c r="A13" s="65" t="s">
        <v>302</v>
      </c>
      <c r="B13" s="65"/>
      <c r="C13" s="65"/>
      <c r="D13" s="65"/>
      <c r="E13" s="65"/>
      <c r="F13" s="65"/>
      <c r="G13" s="65"/>
      <c r="H13" s="65"/>
      <c r="I13" s="74"/>
      <c r="J13" s="75"/>
      <c r="K13" s="7">
        <f>SUM(K9:K12)</f>
        <v>0</v>
      </c>
    </row>
    <row r="14" spans="1:11" s="2" customFormat="1" x14ac:dyDescent="0.25">
      <c r="A14" s="65" t="s">
        <v>303</v>
      </c>
      <c r="B14" s="65"/>
      <c r="C14" s="65"/>
      <c r="D14" s="65"/>
      <c r="E14" s="65"/>
      <c r="F14" s="65"/>
      <c r="G14" s="65"/>
      <c r="H14" s="65"/>
      <c r="I14" s="74"/>
    </row>
    <row r="15" spans="1:11" s="2" customFormat="1" x14ac:dyDescent="0.25">
      <c r="A15" s="65" t="s">
        <v>304</v>
      </c>
      <c r="B15" s="65"/>
      <c r="C15" s="65"/>
      <c r="D15" s="65"/>
      <c r="E15" s="65"/>
      <c r="F15" s="65"/>
      <c r="G15" s="65"/>
      <c r="H15" s="65"/>
      <c r="I15" s="74"/>
      <c r="J15" s="79" t="s">
        <v>316</v>
      </c>
    </row>
    <row r="16" spans="1:11" x14ac:dyDescent="0.25">
      <c r="A16" s="65" t="s">
        <v>305</v>
      </c>
      <c r="B16" s="65"/>
      <c r="C16" s="65"/>
      <c r="D16" s="65"/>
      <c r="E16" s="65"/>
      <c r="F16" s="65"/>
      <c r="G16" s="65"/>
      <c r="H16" s="11">
        <f>SUM(H9:H15)</f>
        <v>0</v>
      </c>
    </row>
    <row r="17" spans="1:11" x14ac:dyDescent="0.25">
      <c r="A17" s="65" t="s">
        <v>306</v>
      </c>
      <c r="B17" s="65"/>
      <c r="C17" s="65"/>
      <c r="D17" s="65"/>
      <c r="E17" s="65"/>
      <c r="F17" s="65"/>
      <c r="G17" s="65"/>
      <c r="H17" s="65"/>
    </row>
    <row r="18" spans="1:11" x14ac:dyDescent="0.25">
      <c r="A18" s="65" t="s">
        <v>307</v>
      </c>
      <c r="B18" s="65"/>
      <c r="C18" s="65"/>
      <c r="D18" s="65"/>
      <c r="E18" s="65"/>
      <c r="F18" s="65"/>
      <c r="G18" s="65"/>
      <c r="H18" s="11">
        <f>SUM(H16:H17)</f>
        <v>0</v>
      </c>
      <c r="K18" s="80"/>
    </row>
    <row r="19" spans="1:11" x14ac:dyDescent="0.25">
      <c r="A19" s="77" t="s">
        <v>308</v>
      </c>
      <c r="B19" s="65"/>
      <c r="C19" s="65"/>
      <c r="D19" s="65"/>
      <c r="E19" s="65"/>
      <c r="F19" s="65"/>
      <c r="G19" s="65"/>
      <c r="H19" s="65">
        <f>H18-H20</f>
        <v>0</v>
      </c>
      <c r="K19" s="20"/>
    </row>
    <row r="20" spans="1:11" x14ac:dyDescent="0.25">
      <c r="A20" s="77" t="s">
        <v>309</v>
      </c>
      <c r="B20" s="65"/>
      <c r="C20" s="65"/>
      <c r="D20" s="65"/>
      <c r="E20" s="65"/>
      <c r="F20" s="65"/>
      <c r="G20" s="65"/>
      <c r="H20" s="65"/>
    </row>
    <row r="21" spans="1:11" x14ac:dyDescent="0.25">
      <c r="A21" s="65" t="s">
        <v>176</v>
      </c>
      <c r="B21" s="65"/>
      <c r="C21" s="65"/>
      <c r="D21" s="65"/>
      <c r="E21" s="65"/>
      <c r="F21" s="65"/>
      <c r="G21" s="65"/>
      <c r="H21" s="65"/>
    </row>
    <row r="22" spans="1:11" x14ac:dyDescent="0.25">
      <c r="A22" s="65" t="s">
        <v>179</v>
      </c>
      <c r="B22" s="65"/>
      <c r="C22" s="65"/>
      <c r="D22" s="65"/>
      <c r="E22" s="65"/>
      <c r="F22" s="65"/>
      <c r="G22" s="65"/>
      <c r="H22" s="11">
        <f>H18+H21</f>
        <v>0</v>
      </c>
    </row>
    <row r="23" spans="1:11" x14ac:dyDescent="0.25">
      <c r="A23" s="77" t="s">
        <v>308</v>
      </c>
      <c r="B23" s="65"/>
      <c r="C23" s="65"/>
      <c r="D23" s="65"/>
      <c r="E23" s="65"/>
      <c r="F23" s="65"/>
      <c r="G23" s="65"/>
      <c r="H23" s="65">
        <f>H22-H24</f>
        <v>0</v>
      </c>
    </row>
    <row r="24" spans="1:11" x14ac:dyDescent="0.25">
      <c r="A24" s="78" t="s">
        <v>309</v>
      </c>
      <c r="B24" s="68"/>
      <c r="C24" s="68"/>
      <c r="D24" s="68"/>
      <c r="E24" s="68"/>
      <c r="F24" s="68"/>
      <c r="G24" s="68"/>
      <c r="H24" s="68"/>
      <c r="J24" s="5" t="s">
        <v>317</v>
      </c>
    </row>
    <row r="25" spans="1:11" x14ac:dyDescent="0.25">
      <c r="A25" s="8"/>
      <c r="B25" s="2"/>
      <c r="C25" s="2"/>
      <c r="D25" s="2"/>
      <c r="E25" s="2"/>
      <c r="F25" s="2"/>
      <c r="G25" s="2"/>
    </row>
    <row r="27" spans="1:11" x14ac:dyDescent="0.25">
      <c r="K27" s="80"/>
    </row>
    <row r="33" spans="10:12" x14ac:dyDescent="0.25">
      <c r="J33" s="79" t="s">
        <v>318</v>
      </c>
      <c r="K33" s="2"/>
      <c r="L33" s="2"/>
    </row>
    <row r="38" spans="10:12" x14ac:dyDescent="0.25">
      <c r="J38" s="79" t="s">
        <v>319</v>
      </c>
      <c r="K38" s="2"/>
      <c r="L38" s="2"/>
    </row>
    <row r="41" spans="10:12" x14ac:dyDescent="0.25">
      <c r="K41" s="80"/>
    </row>
    <row r="42" spans="10:12" x14ac:dyDescent="0.25">
      <c r="K42" s="81"/>
    </row>
    <row r="43" spans="10:12" x14ac:dyDescent="0.25">
      <c r="K43" s="20"/>
    </row>
    <row r="44" spans="10:12" x14ac:dyDescent="0.25">
      <c r="K44" s="2"/>
    </row>
    <row r="45" spans="10:12" ht="14.25" customHeight="1" x14ac:dyDescent="0.25"/>
    <row r="48" spans="10:12" x14ac:dyDescent="0.25">
      <c r="J48" s="79" t="s">
        <v>320</v>
      </c>
      <c r="K48" s="2"/>
      <c r="L48" s="2"/>
    </row>
    <row r="52" spans="10:12" x14ac:dyDescent="0.25">
      <c r="K52" s="20"/>
    </row>
    <row r="53" spans="10:12" x14ac:dyDescent="0.25">
      <c r="K53" s="2"/>
    </row>
    <row r="57" spans="10:12" x14ac:dyDescent="0.25">
      <c r="J57" s="79" t="s">
        <v>322</v>
      </c>
      <c r="K57" s="2"/>
      <c r="L57" s="2"/>
    </row>
    <row r="59" spans="10:12" x14ac:dyDescent="0.25">
      <c r="K59" s="2"/>
    </row>
    <row r="60" spans="10:12" x14ac:dyDescent="0.25">
      <c r="K60" s="2"/>
    </row>
    <row r="61" spans="10:12" x14ac:dyDescent="0.25">
      <c r="K61" s="2"/>
    </row>
    <row r="62" spans="10:12" x14ac:dyDescent="0.25">
      <c r="K62" s="20"/>
    </row>
    <row r="63" spans="10:12" x14ac:dyDescent="0.25">
      <c r="K63" s="2"/>
    </row>
    <row r="65" spans="12:12" x14ac:dyDescent="0.25">
      <c r="L65" s="3">
        <f>K64</f>
        <v>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6658-D893-4A99-BFAF-144880AE9339}">
  <dimension ref="A1:R192"/>
  <sheetViews>
    <sheetView zoomScale="90" zoomScaleNormal="90" workbookViewId="0">
      <selection activeCell="D1" sqref="D1:D1048576"/>
    </sheetView>
  </sheetViews>
  <sheetFormatPr defaultRowHeight="15" x14ac:dyDescent="0.25"/>
  <cols>
    <col min="1" max="1" width="28.7109375" style="22" customWidth="1"/>
    <col min="2" max="2" width="14.140625" style="22" customWidth="1"/>
    <col min="3" max="3" width="11.5703125" style="22" customWidth="1"/>
    <col min="4" max="4" width="1.28515625" style="35" customWidth="1"/>
    <col min="5" max="5" width="10.28515625" style="39" customWidth="1"/>
    <col min="6" max="6" width="9.85546875" style="22" customWidth="1"/>
    <col min="7" max="7" width="9.140625" style="22"/>
    <col min="8" max="8" width="11.140625" style="22" customWidth="1"/>
    <col min="9" max="9" width="9.85546875" style="22" customWidth="1"/>
    <col min="10" max="16384" width="9.140625" style="22"/>
  </cols>
  <sheetData>
    <row r="1" spans="1:9" x14ac:dyDescent="0.25">
      <c r="A1" s="22" t="s">
        <v>42</v>
      </c>
    </row>
    <row r="3" spans="1:9" x14ac:dyDescent="0.25">
      <c r="A3" s="23" t="s">
        <v>43</v>
      </c>
    </row>
    <row r="4" spans="1:9" x14ac:dyDescent="0.25">
      <c r="B4" s="22" t="s">
        <v>50</v>
      </c>
      <c r="C4" s="22" t="s">
        <v>50</v>
      </c>
      <c r="D4" s="35" t="s">
        <v>51</v>
      </c>
      <c r="G4" s="22" t="s">
        <v>53</v>
      </c>
    </row>
    <row r="5" spans="1:9" x14ac:dyDescent="0.25">
      <c r="A5" s="33" t="s">
        <v>44</v>
      </c>
      <c r="B5" s="33" t="s">
        <v>46</v>
      </c>
      <c r="C5" s="33" t="s">
        <v>47</v>
      </c>
      <c r="D5" s="36" t="s">
        <v>34</v>
      </c>
      <c r="E5" s="40" t="s">
        <v>48</v>
      </c>
      <c r="G5" s="23" t="s">
        <v>54</v>
      </c>
    </row>
    <row r="6" spans="1:9" x14ac:dyDescent="0.25">
      <c r="A6" s="22" t="s">
        <v>49</v>
      </c>
      <c r="B6" s="22">
        <v>12000</v>
      </c>
      <c r="C6" s="22">
        <v>6000</v>
      </c>
      <c r="D6" s="35">
        <v>-2000</v>
      </c>
    </row>
    <row r="7" spans="1:9" x14ac:dyDescent="0.25">
      <c r="A7" s="22" t="s">
        <v>52</v>
      </c>
      <c r="B7" s="22">
        <f>-(20000-10000)</f>
        <v>-10000</v>
      </c>
      <c r="C7" s="22">
        <f>-(12000-4000)</f>
        <v>-8000</v>
      </c>
      <c r="D7" s="35">
        <v>0</v>
      </c>
      <c r="G7" s="22" t="s">
        <v>55</v>
      </c>
      <c r="I7" s="22">
        <v>2000</v>
      </c>
    </row>
    <row r="8" spans="1:9" ht="15" customHeight="1" x14ac:dyDescent="0.25">
      <c r="A8" s="22" t="s">
        <v>57</v>
      </c>
      <c r="B8" s="22">
        <f>B6+B7</f>
        <v>2000</v>
      </c>
      <c r="C8" s="22">
        <f t="shared" ref="C8:D8" si="0">C6+C7</f>
        <v>-2000</v>
      </c>
      <c r="D8" s="35">
        <f t="shared" si="0"/>
        <v>-2000</v>
      </c>
      <c r="E8" s="39">
        <f>SUM(B8:D8)</f>
        <v>-2000</v>
      </c>
      <c r="G8" s="84" t="s">
        <v>56</v>
      </c>
      <c r="H8" s="84"/>
      <c r="I8" s="22">
        <v>-2000</v>
      </c>
    </row>
    <row r="9" spans="1:9" x14ac:dyDescent="0.25">
      <c r="B9" s="24" t="s">
        <v>58</v>
      </c>
      <c r="C9" s="24" t="s">
        <v>59</v>
      </c>
      <c r="D9" s="37" t="s">
        <v>59</v>
      </c>
      <c r="E9" s="41" t="s">
        <v>59</v>
      </c>
      <c r="G9" s="84"/>
      <c r="H9" s="84"/>
    </row>
    <row r="10" spans="1:9" x14ac:dyDescent="0.25">
      <c r="A10" s="22" t="s">
        <v>60</v>
      </c>
      <c r="E10" s="55">
        <v>0.3</v>
      </c>
      <c r="G10" s="84"/>
      <c r="H10" s="84"/>
    </row>
    <row r="11" spans="1:9" x14ac:dyDescent="0.25">
      <c r="A11" s="22" t="s">
        <v>61</v>
      </c>
      <c r="E11" s="39">
        <f>-E8*E10</f>
        <v>600</v>
      </c>
      <c r="G11" s="84"/>
      <c r="H11" s="84"/>
    </row>
    <row r="12" spans="1:9" x14ac:dyDescent="0.25">
      <c r="G12" s="84"/>
      <c r="H12" s="84"/>
    </row>
    <row r="13" spans="1:9" x14ac:dyDescent="0.25">
      <c r="G13" s="30"/>
      <c r="H13" s="30"/>
    </row>
    <row r="14" spans="1:9" ht="13.5" customHeight="1" x14ac:dyDescent="0.25">
      <c r="A14" s="83" t="s">
        <v>45</v>
      </c>
      <c r="B14" s="83"/>
      <c r="C14" s="83"/>
      <c r="D14" s="83"/>
      <c r="I14" s="25">
        <f>SUM(I7:I10)</f>
        <v>0</v>
      </c>
    </row>
    <row r="15" spans="1:9" x14ac:dyDescent="0.25">
      <c r="A15" s="25" t="s">
        <v>64</v>
      </c>
      <c r="B15" s="26">
        <f>D15+D17</f>
        <v>1250</v>
      </c>
      <c r="C15" s="27" t="s">
        <v>21</v>
      </c>
      <c r="D15" s="38">
        <v>650</v>
      </c>
      <c r="F15" s="22" t="s">
        <v>62</v>
      </c>
    </row>
    <row r="16" spans="1:9" x14ac:dyDescent="0.25">
      <c r="A16" s="28"/>
      <c r="B16" s="29"/>
      <c r="F16" s="22" t="s">
        <v>63</v>
      </c>
    </row>
    <row r="17" spans="1:8" x14ac:dyDescent="0.25">
      <c r="A17" s="28"/>
      <c r="B17" s="29"/>
      <c r="C17" s="22" t="s">
        <v>22</v>
      </c>
      <c r="D17" s="35">
        <f>E11</f>
        <v>600</v>
      </c>
    </row>
    <row r="19" spans="1:8" x14ac:dyDescent="0.25">
      <c r="A19" s="22" t="s">
        <v>65</v>
      </c>
    </row>
    <row r="20" spans="1:8" x14ac:dyDescent="0.25">
      <c r="A20" s="22" t="s">
        <v>66</v>
      </c>
    </row>
    <row r="22" spans="1:8" x14ac:dyDescent="0.25">
      <c r="A22" s="22" t="s">
        <v>67</v>
      </c>
      <c r="B22" s="32" t="s">
        <v>68</v>
      </c>
      <c r="D22" s="35">
        <f>5600000*0.3</f>
        <v>1680000</v>
      </c>
    </row>
    <row r="23" spans="1:8" x14ac:dyDescent="0.25">
      <c r="A23" s="22" t="s">
        <v>43</v>
      </c>
      <c r="D23" s="35">
        <v>-1250000</v>
      </c>
    </row>
    <row r="24" spans="1:8" x14ac:dyDescent="0.25">
      <c r="D24" s="38">
        <f>SUM(D22:D23)</f>
        <v>430000</v>
      </c>
    </row>
    <row r="27" spans="1:8" x14ac:dyDescent="0.25">
      <c r="A27" s="23" t="s">
        <v>69</v>
      </c>
    </row>
    <row r="29" spans="1:8" x14ac:dyDescent="0.25">
      <c r="A29" s="34" t="s">
        <v>70</v>
      </c>
      <c r="F29" s="23" t="s">
        <v>53</v>
      </c>
    </row>
    <row r="30" spans="1:8" x14ac:dyDescent="0.25">
      <c r="C30" s="22" t="s">
        <v>0</v>
      </c>
    </row>
    <row r="31" spans="1:8" x14ac:dyDescent="0.25">
      <c r="A31" s="22" t="s">
        <v>71</v>
      </c>
      <c r="F31" s="23" t="s">
        <v>75</v>
      </c>
    </row>
    <row r="32" spans="1:8" x14ac:dyDescent="0.25">
      <c r="A32" s="22" t="s">
        <v>73</v>
      </c>
      <c r="C32" s="22">
        <v>200000</v>
      </c>
      <c r="F32" s="22" t="s">
        <v>76</v>
      </c>
      <c r="H32" s="22">
        <v>20000</v>
      </c>
    </row>
    <row r="33" spans="1:8" x14ac:dyDescent="0.25">
      <c r="A33" s="22" t="s">
        <v>74</v>
      </c>
      <c r="C33" s="22">
        <f>H34</f>
        <v>40000</v>
      </c>
      <c r="F33" s="22" t="s">
        <v>77</v>
      </c>
      <c r="H33" s="22">
        <v>2</v>
      </c>
    </row>
    <row r="34" spans="1:8" x14ac:dyDescent="0.25">
      <c r="C34" s="25">
        <f>SUM(C32:C33)</f>
        <v>240000</v>
      </c>
      <c r="F34" s="22" t="s">
        <v>75</v>
      </c>
      <c r="H34" s="25">
        <f>H32*H33</f>
        <v>40000</v>
      </c>
    </row>
    <row r="35" spans="1:8" x14ac:dyDescent="0.25">
      <c r="A35" s="22" t="s">
        <v>72</v>
      </c>
    </row>
    <row r="36" spans="1:8" x14ac:dyDescent="0.25">
      <c r="A36" s="22" t="s">
        <v>78</v>
      </c>
      <c r="B36" s="22">
        <v>120000</v>
      </c>
    </row>
    <row r="37" spans="1:8" x14ac:dyDescent="0.25">
      <c r="A37" s="22" t="s">
        <v>79</v>
      </c>
      <c r="B37" s="22">
        <v>20000</v>
      </c>
    </row>
    <row r="38" spans="1:8" x14ac:dyDescent="0.25">
      <c r="A38" s="22" t="s">
        <v>80</v>
      </c>
      <c r="B38" s="22">
        <v>30000</v>
      </c>
    </row>
    <row r="39" spans="1:8" x14ac:dyDescent="0.25">
      <c r="A39" s="22" t="s">
        <v>81</v>
      </c>
      <c r="B39" s="25">
        <f>SUM(B36:B38)</f>
        <v>170000</v>
      </c>
    </row>
    <row r="40" spans="1:8" x14ac:dyDescent="0.25">
      <c r="A40" s="22" t="s">
        <v>82</v>
      </c>
      <c r="B40" s="22">
        <f>-B39*0.05</f>
        <v>-8500</v>
      </c>
    </row>
    <row r="41" spans="1:8" x14ac:dyDescent="0.25">
      <c r="A41" s="22" t="s">
        <v>83</v>
      </c>
      <c r="C41" s="22">
        <f>-(B39+B40)</f>
        <v>-161500</v>
      </c>
    </row>
    <row r="43" spans="1:8" x14ac:dyDescent="0.25">
      <c r="A43" s="22" t="s">
        <v>70</v>
      </c>
      <c r="C43" s="25">
        <f>C34+C41</f>
        <v>78500</v>
      </c>
    </row>
    <row r="48" spans="1:8" x14ac:dyDescent="0.25">
      <c r="A48" s="23" t="s">
        <v>84</v>
      </c>
    </row>
    <row r="50" spans="1:9" x14ac:dyDescent="0.25">
      <c r="A50" s="34" t="s">
        <v>85</v>
      </c>
      <c r="E50" s="56" t="s">
        <v>1</v>
      </c>
    </row>
    <row r="51" spans="1:9" x14ac:dyDescent="0.25">
      <c r="B51" s="22" t="s">
        <v>88</v>
      </c>
    </row>
    <row r="52" spans="1:9" x14ac:dyDescent="0.25">
      <c r="A52" s="22" t="s">
        <v>93</v>
      </c>
      <c r="B52" s="22">
        <f>F57</f>
        <v>11000</v>
      </c>
      <c r="E52" s="57" t="s">
        <v>86</v>
      </c>
    </row>
    <row r="53" spans="1:9" x14ac:dyDescent="0.25">
      <c r="A53" s="22" t="s">
        <v>107</v>
      </c>
      <c r="B53" s="22">
        <f>B63</f>
        <v>13275</v>
      </c>
      <c r="F53" s="22" t="s">
        <v>88</v>
      </c>
    </row>
    <row r="54" spans="1:9" x14ac:dyDescent="0.25">
      <c r="A54" s="22" t="s">
        <v>108</v>
      </c>
      <c r="B54" s="22">
        <f>B69</f>
        <v>1966.6666666666667</v>
      </c>
      <c r="E54" s="39" t="s">
        <v>87</v>
      </c>
      <c r="F54" s="22">
        <v>100000</v>
      </c>
    </row>
    <row r="55" spans="1:9" x14ac:dyDescent="0.25">
      <c r="A55" s="44" t="s">
        <v>85</v>
      </c>
      <c r="B55" s="25">
        <f>SUM(B52:B54)</f>
        <v>26241.666666666668</v>
      </c>
      <c r="E55" s="39" t="s">
        <v>89</v>
      </c>
      <c r="F55" s="31">
        <v>0.12</v>
      </c>
    </row>
    <row r="56" spans="1:9" x14ac:dyDescent="0.25">
      <c r="E56" s="39" t="s">
        <v>90</v>
      </c>
      <c r="F56" s="43" t="s">
        <v>92</v>
      </c>
      <c r="G56" s="22" t="s">
        <v>91</v>
      </c>
    </row>
    <row r="57" spans="1:9" x14ac:dyDescent="0.25">
      <c r="E57" s="39" t="s">
        <v>32</v>
      </c>
      <c r="F57" s="25">
        <f>100000*12%*11/12</f>
        <v>11000</v>
      </c>
    </row>
    <row r="58" spans="1:9" x14ac:dyDescent="0.25">
      <c r="A58" s="23" t="s">
        <v>1</v>
      </c>
    </row>
    <row r="59" spans="1:9" x14ac:dyDescent="0.25">
      <c r="A59" s="34" t="s">
        <v>104</v>
      </c>
      <c r="E59" s="57" t="s">
        <v>94</v>
      </c>
    </row>
    <row r="60" spans="1:9" x14ac:dyDescent="0.25">
      <c r="A60" s="22" t="s">
        <v>29</v>
      </c>
      <c r="B60" s="22">
        <v>150000</v>
      </c>
      <c r="E60" s="57"/>
    </row>
    <row r="61" spans="1:9" x14ac:dyDescent="0.25">
      <c r="A61" s="22" t="s">
        <v>105</v>
      </c>
      <c r="B61" s="42">
        <v>0.11799999999999999</v>
      </c>
      <c r="E61" s="39" t="s">
        <v>29</v>
      </c>
      <c r="F61" s="22" t="s">
        <v>97</v>
      </c>
      <c r="G61" s="22" t="s">
        <v>98</v>
      </c>
      <c r="H61" s="22" t="s">
        <v>90</v>
      </c>
      <c r="I61" s="22" t="s">
        <v>32</v>
      </c>
    </row>
    <row r="62" spans="1:9" x14ac:dyDescent="0.25">
      <c r="A62" s="22" t="s">
        <v>90</v>
      </c>
      <c r="B62" s="43" t="s">
        <v>106</v>
      </c>
      <c r="E62" s="39" t="s">
        <v>95</v>
      </c>
      <c r="F62" s="22">
        <v>200000</v>
      </c>
      <c r="G62" s="31">
        <v>0.12</v>
      </c>
      <c r="H62" s="32" t="s">
        <v>99</v>
      </c>
      <c r="I62" s="22">
        <f>200000*0.12*10/12</f>
        <v>20000</v>
      </c>
    </row>
    <row r="63" spans="1:9" x14ac:dyDescent="0.25">
      <c r="A63" s="22" t="s">
        <v>32</v>
      </c>
      <c r="B63" s="25">
        <f>150000*0.118*9/12</f>
        <v>13275</v>
      </c>
      <c r="E63" s="39" t="s">
        <v>96</v>
      </c>
      <c r="F63" s="22">
        <v>300000</v>
      </c>
      <c r="G63" s="31">
        <v>0.13</v>
      </c>
      <c r="H63" s="32" t="s">
        <v>100</v>
      </c>
      <c r="I63" s="22">
        <f>300000*0.13*12/12</f>
        <v>39000</v>
      </c>
    </row>
    <row r="64" spans="1:9" x14ac:dyDescent="0.25">
      <c r="F64" s="25">
        <f>SUM(F62:F63)</f>
        <v>500000</v>
      </c>
      <c r="I64" s="25">
        <f>SUM(I62:I63)</f>
        <v>59000</v>
      </c>
    </row>
    <row r="65" spans="1:6" x14ac:dyDescent="0.25">
      <c r="A65" s="34" t="s">
        <v>109</v>
      </c>
    </row>
    <row r="66" spans="1:6" x14ac:dyDescent="0.25">
      <c r="A66" s="22" t="s">
        <v>29</v>
      </c>
      <c r="B66" s="22">
        <v>50000</v>
      </c>
      <c r="E66" s="39" t="s">
        <v>101</v>
      </c>
      <c r="F66" s="32" t="s">
        <v>102</v>
      </c>
    </row>
    <row r="67" spans="1:6" x14ac:dyDescent="0.25">
      <c r="A67" s="22" t="s">
        <v>105</v>
      </c>
      <c r="B67" s="42">
        <v>0.11799999999999999</v>
      </c>
      <c r="F67" s="32" t="s">
        <v>103</v>
      </c>
    </row>
    <row r="68" spans="1:6" x14ac:dyDescent="0.25">
      <c r="A68" s="22" t="s">
        <v>90</v>
      </c>
      <c r="B68" s="43" t="s">
        <v>110</v>
      </c>
      <c r="F68" s="42">
        <f>I64/F64</f>
        <v>0.11799999999999999</v>
      </c>
    </row>
    <row r="69" spans="1:6" x14ac:dyDescent="0.25">
      <c r="A69" s="22" t="s">
        <v>32</v>
      </c>
      <c r="B69" s="25">
        <f>50000*0.118*4/12</f>
        <v>1966.6666666666667</v>
      </c>
    </row>
    <row r="72" spans="1:6" x14ac:dyDescent="0.25">
      <c r="A72" s="23" t="s">
        <v>111</v>
      </c>
    </row>
    <row r="74" spans="1:6" x14ac:dyDescent="0.25">
      <c r="A74" s="34" t="s">
        <v>112</v>
      </c>
    </row>
    <row r="75" spans="1:6" x14ac:dyDescent="0.25">
      <c r="B75" s="22" t="s">
        <v>88</v>
      </c>
    </row>
    <row r="76" spans="1:6" x14ac:dyDescent="0.25">
      <c r="A76" s="22" t="s">
        <v>113</v>
      </c>
      <c r="B76" s="22">
        <v>300</v>
      </c>
    </row>
    <row r="77" spans="1:6" x14ac:dyDescent="0.25">
      <c r="A77" s="22" t="s">
        <v>114</v>
      </c>
      <c r="B77" s="22">
        <v>3700</v>
      </c>
    </row>
    <row r="78" spans="1:6" x14ac:dyDescent="0.25">
      <c r="B78" s="25">
        <f>SUM(B76:B77)</f>
        <v>4000</v>
      </c>
    </row>
    <row r="80" spans="1:6" x14ac:dyDescent="0.25">
      <c r="A80" s="23" t="s">
        <v>115</v>
      </c>
    </row>
    <row r="82" spans="1:5" x14ac:dyDescent="0.25">
      <c r="A82" s="22" t="s">
        <v>116</v>
      </c>
      <c r="B82" s="22">
        <v>4000</v>
      </c>
    </row>
    <row r="83" spans="1:5" x14ac:dyDescent="0.25">
      <c r="A83" s="22" t="s">
        <v>117</v>
      </c>
      <c r="B83" s="22">
        <v>4</v>
      </c>
    </row>
    <row r="84" spans="1:5" x14ac:dyDescent="0.25">
      <c r="A84" s="22" t="s">
        <v>118</v>
      </c>
      <c r="B84" s="25">
        <f>B82/B83</f>
        <v>1000</v>
      </c>
    </row>
    <row r="87" spans="1:5" x14ac:dyDescent="0.25">
      <c r="A87" s="23" t="s">
        <v>119</v>
      </c>
    </row>
    <row r="88" spans="1:5" x14ac:dyDescent="0.25">
      <c r="B88" s="22" t="s">
        <v>88</v>
      </c>
    </row>
    <row r="89" spans="1:5" x14ac:dyDescent="0.25">
      <c r="A89" s="22" t="s">
        <v>55</v>
      </c>
      <c r="B89" s="22">
        <f>B99</f>
        <v>3200</v>
      </c>
    </row>
    <row r="90" spans="1:5" x14ac:dyDescent="0.25">
      <c r="A90" s="22" t="s">
        <v>120</v>
      </c>
      <c r="B90" s="22">
        <f>H106</f>
        <v>1735.5371900826444</v>
      </c>
    </row>
    <row r="91" spans="1:5" x14ac:dyDescent="0.25">
      <c r="A91" s="22" t="s">
        <v>121</v>
      </c>
      <c r="B91" s="25">
        <f>B89-B90</f>
        <v>1464.4628099173556</v>
      </c>
    </row>
    <row r="93" spans="1:5" x14ac:dyDescent="0.25">
      <c r="A93" s="23" t="s">
        <v>1</v>
      </c>
    </row>
    <row r="95" spans="1:5" x14ac:dyDescent="0.25">
      <c r="A95" s="34" t="s">
        <v>55</v>
      </c>
      <c r="E95" s="56" t="s">
        <v>128</v>
      </c>
    </row>
    <row r="96" spans="1:5" x14ac:dyDescent="0.25">
      <c r="A96" s="22" t="s">
        <v>122</v>
      </c>
      <c r="B96" s="22">
        <v>8000</v>
      </c>
    </row>
    <row r="97" spans="1:9" x14ac:dyDescent="0.25">
      <c r="A97" s="22" t="s">
        <v>123</v>
      </c>
      <c r="G97" s="22">
        <v>1</v>
      </c>
      <c r="H97" s="22">
        <v>2</v>
      </c>
    </row>
    <row r="98" spans="1:9" x14ac:dyDescent="0.25">
      <c r="A98" s="32" t="s">
        <v>124</v>
      </c>
      <c r="B98" s="22">
        <f>-(1600*3)</f>
        <v>-4800</v>
      </c>
      <c r="E98" s="39" t="s">
        <v>129</v>
      </c>
      <c r="G98" s="22">
        <v>1000</v>
      </c>
      <c r="H98" s="22">
        <v>1000</v>
      </c>
    </row>
    <row r="99" spans="1:9" x14ac:dyDescent="0.25">
      <c r="A99" s="22" t="s">
        <v>55</v>
      </c>
      <c r="B99" s="25">
        <f>B96+B98</f>
        <v>3200</v>
      </c>
      <c r="E99" s="39" t="s">
        <v>130</v>
      </c>
      <c r="G99" s="32" t="s">
        <v>131</v>
      </c>
      <c r="H99" s="32" t="s">
        <v>132</v>
      </c>
    </row>
    <row r="100" spans="1:9" x14ac:dyDescent="0.25">
      <c r="G100" s="45">
        <f>1/1.1</f>
        <v>0.90909090909090906</v>
      </c>
      <c r="H100" s="45">
        <f>1/1.1^2</f>
        <v>0.82644628099173545</v>
      </c>
    </row>
    <row r="101" spans="1:9" x14ac:dyDescent="0.25">
      <c r="A101" s="23" t="s">
        <v>125</v>
      </c>
      <c r="E101" s="39" t="s">
        <v>133</v>
      </c>
      <c r="G101" s="22">
        <f>G98*G100</f>
        <v>909.09090909090901</v>
      </c>
      <c r="H101" s="22">
        <f>H98*H100</f>
        <v>826.44628099173542</v>
      </c>
    </row>
    <row r="102" spans="1:9" x14ac:dyDescent="0.25">
      <c r="G102" s="25">
        <f>G101+H101</f>
        <v>1735.5371900826444</v>
      </c>
    </row>
    <row r="103" spans="1:9" x14ac:dyDescent="0.25">
      <c r="A103" s="22" t="s">
        <v>126</v>
      </c>
      <c r="B103" s="22">
        <v>2000</v>
      </c>
    </row>
    <row r="104" spans="1:9" x14ac:dyDescent="0.25">
      <c r="A104" s="22" t="s">
        <v>127</v>
      </c>
      <c r="B104" s="22">
        <v>-500</v>
      </c>
      <c r="E104" s="58" t="s">
        <v>134</v>
      </c>
      <c r="F104" s="44"/>
      <c r="G104" s="44"/>
      <c r="H104" s="44">
        <v>1500</v>
      </c>
    </row>
    <row r="105" spans="1:9" x14ac:dyDescent="0.25">
      <c r="A105" s="22" t="s">
        <v>125</v>
      </c>
      <c r="B105" s="25">
        <f>SUM(B103:B104)</f>
        <v>1500</v>
      </c>
      <c r="E105" s="58" t="s">
        <v>135</v>
      </c>
      <c r="F105" s="44"/>
      <c r="G105" s="44"/>
      <c r="H105" s="44">
        <f>G102</f>
        <v>1735.5371900826444</v>
      </c>
    </row>
    <row r="106" spans="1:9" x14ac:dyDescent="0.25">
      <c r="E106" s="39" t="s">
        <v>136</v>
      </c>
      <c r="H106" s="25">
        <f>H105</f>
        <v>1735.5371900826444</v>
      </c>
    </row>
    <row r="109" spans="1:9" x14ac:dyDescent="0.25">
      <c r="A109" s="23" t="s">
        <v>137</v>
      </c>
    </row>
    <row r="110" spans="1:9" x14ac:dyDescent="0.25">
      <c r="B110" s="22" t="s">
        <v>88</v>
      </c>
      <c r="E110" s="56" t="s">
        <v>1</v>
      </c>
    </row>
    <row r="111" spans="1:9" x14ac:dyDescent="0.25">
      <c r="A111" s="22" t="s">
        <v>138</v>
      </c>
      <c r="B111" s="22">
        <v>2500</v>
      </c>
    </row>
    <row r="112" spans="1:9" x14ac:dyDescent="0.25">
      <c r="A112" s="22" t="s">
        <v>139</v>
      </c>
      <c r="B112" s="22">
        <v>500</v>
      </c>
      <c r="E112" s="56" t="s">
        <v>145</v>
      </c>
      <c r="F112" s="23" t="s">
        <v>148</v>
      </c>
      <c r="G112" s="23" t="s">
        <v>152</v>
      </c>
      <c r="H112" s="23" t="s">
        <v>144</v>
      </c>
      <c r="I112" s="23" t="s">
        <v>149</v>
      </c>
    </row>
    <row r="113" spans="1:10" x14ac:dyDescent="0.25">
      <c r="A113" s="22" t="s">
        <v>140</v>
      </c>
      <c r="B113" s="25">
        <f>SUM(B111:B112)</f>
        <v>3000</v>
      </c>
      <c r="E113" s="39" t="s">
        <v>146</v>
      </c>
      <c r="F113" s="22">
        <f>B111*5</f>
        <v>12500</v>
      </c>
      <c r="G113" s="31">
        <f>F113/F115</f>
        <v>0.83333333333333337</v>
      </c>
      <c r="H113" s="22">
        <f>H115*G113</f>
        <v>2500</v>
      </c>
      <c r="I113" s="22">
        <f>F113-H113</f>
        <v>10000</v>
      </c>
      <c r="J113" s="22">
        <f>I113/5</f>
        <v>2000</v>
      </c>
    </row>
    <row r="114" spans="1:10" x14ac:dyDescent="0.25">
      <c r="A114" s="22" t="s">
        <v>141</v>
      </c>
      <c r="B114" s="22">
        <v>5</v>
      </c>
      <c r="E114" s="39" t="s">
        <v>147</v>
      </c>
      <c r="F114" s="22">
        <f>B112*5</f>
        <v>2500</v>
      </c>
      <c r="G114" s="31">
        <f>F114/F115</f>
        <v>0.16666666666666666</v>
      </c>
      <c r="H114" s="22">
        <f>H115*G114</f>
        <v>500</v>
      </c>
      <c r="I114" s="22">
        <f>F114-H114</f>
        <v>2000</v>
      </c>
      <c r="J114" s="22">
        <f>I114/5</f>
        <v>400</v>
      </c>
    </row>
    <row r="115" spans="1:10" x14ac:dyDescent="0.25">
      <c r="A115" s="22" t="s">
        <v>142</v>
      </c>
      <c r="B115" s="25">
        <f>B113*B114</f>
        <v>15000</v>
      </c>
      <c r="F115" s="25">
        <f>SUM(F113:F114)</f>
        <v>15000</v>
      </c>
      <c r="H115" s="25">
        <v>3000</v>
      </c>
      <c r="I115" s="25">
        <v>12000</v>
      </c>
      <c r="J115" s="25">
        <f>SUM(J113:J114)</f>
        <v>2400</v>
      </c>
    </row>
    <row r="116" spans="1:10" x14ac:dyDescent="0.25">
      <c r="A116" s="22" t="s">
        <v>143</v>
      </c>
      <c r="B116" s="22">
        <v>12000</v>
      </c>
    </row>
    <row r="117" spans="1:10" x14ac:dyDescent="0.25">
      <c r="A117" s="22" t="s">
        <v>144</v>
      </c>
      <c r="B117" s="25">
        <f>B115-B116</f>
        <v>3000</v>
      </c>
      <c r="E117" s="56" t="s">
        <v>150</v>
      </c>
    </row>
    <row r="118" spans="1:10" x14ac:dyDescent="0.25">
      <c r="F118" s="32" t="s">
        <v>151</v>
      </c>
    </row>
    <row r="119" spans="1:10" x14ac:dyDescent="0.25">
      <c r="A119" s="23" t="s">
        <v>153</v>
      </c>
    </row>
    <row r="120" spans="1:10" x14ac:dyDescent="0.25">
      <c r="E120" s="59" t="s">
        <v>154</v>
      </c>
    </row>
    <row r="121" spans="1:10" x14ac:dyDescent="0.25">
      <c r="A121" s="22" t="s">
        <v>155</v>
      </c>
      <c r="B121" s="22">
        <v>2</v>
      </c>
    </row>
    <row r="122" spans="1:10" x14ac:dyDescent="0.25">
      <c r="A122" s="22" t="s">
        <v>156</v>
      </c>
      <c r="B122" s="22">
        <f>J115</f>
        <v>2400</v>
      </c>
    </row>
    <row r="123" spans="1:10" x14ac:dyDescent="0.25">
      <c r="A123" s="22" t="s">
        <v>157</v>
      </c>
      <c r="B123" s="25">
        <f>B121*B122</f>
        <v>4800</v>
      </c>
    </row>
    <row r="125" spans="1:10" x14ac:dyDescent="0.25">
      <c r="A125" s="23" t="s">
        <v>158</v>
      </c>
    </row>
    <row r="127" spans="1:10" x14ac:dyDescent="0.25">
      <c r="A127" s="22" t="s">
        <v>159</v>
      </c>
      <c r="B127" s="22">
        <v>10000</v>
      </c>
    </row>
    <row r="128" spans="1:10" x14ac:dyDescent="0.25">
      <c r="A128" s="22" t="s">
        <v>160</v>
      </c>
      <c r="B128" s="22">
        <f>-B123</f>
        <v>-4800</v>
      </c>
    </row>
    <row r="129" spans="1:16" x14ac:dyDescent="0.25">
      <c r="A129" s="22" t="s">
        <v>161</v>
      </c>
      <c r="B129" s="25">
        <f>B127+B128</f>
        <v>5200</v>
      </c>
    </row>
    <row r="132" spans="1:16" x14ac:dyDescent="0.25">
      <c r="A132" s="23" t="s">
        <v>162</v>
      </c>
    </row>
    <row r="133" spans="1:16" x14ac:dyDescent="0.25">
      <c r="A133" s="22" t="s">
        <v>163</v>
      </c>
    </row>
    <row r="134" spans="1:16" x14ac:dyDescent="0.25">
      <c r="A134" s="22" t="s">
        <v>164</v>
      </c>
    </row>
    <row r="135" spans="1:16" x14ac:dyDescent="0.25">
      <c r="A135" s="22" t="s">
        <v>165</v>
      </c>
    </row>
    <row r="136" spans="1:16" x14ac:dyDescent="0.25">
      <c r="A136" s="22" t="s">
        <v>0</v>
      </c>
    </row>
    <row r="137" spans="1:16" x14ac:dyDescent="0.25">
      <c r="C137" s="22" t="s">
        <v>187</v>
      </c>
      <c r="E137" s="56" t="s">
        <v>1</v>
      </c>
    </row>
    <row r="138" spans="1:16" x14ac:dyDescent="0.25">
      <c r="A138" s="27" t="s">
        <v>166</v>
      </c>
      <c r="B138" s="26">
        <f>-G142</f>
        <v>-144000</v>
      </c>
      <c r="C138" s="26">
        <f>800000+500000+B138</f>
        <v>1156000</v>
      </c>
      <c r="E138" s="57" t="s">
        <v>188</v>
      </c>
    </row>
    <row r="139" spans="1:16" x14ac:dyDescent="0.25">
      <c r="A139" s="46" t="s">
        <v>167</v>
      </c>
      <c r="B139" s="29">
        <f>+G142-G152</f>
        <v>136500</v>
      </c>
      <c r="C139" s="29">
        <f>-465000-225000+B139</f>
        <v>-553500</v>
      </c>
    </row>
    <row r="140" spans="1:16" x14ac:dyDescent="0.25">
      <c r="A140" s="46" t="s">
        <v>168</v>
      </c>
      <c r="B140" s="29"/>
      <c r="C140" s="49">
        <f>SUM(C138:C139)</f>
        <v>602500</v>
      </c>
      <c r="E140" s="39" t="s">
        <v>122</v>
      </c>
      <c r="G140" s="22">
        <v>120000</v>
      </c>
      <c r="H140" s="22">
        <v>100</v>
      </c>
    </row>
    <row r="141" spans="1:16" x14ac:dyDescent="0.25">
      <c r="A141" s="46" t="s">
        <v>169</v>
      </c>
      <c r="B141" s="29">
        <f>-G161-G169-G184</f>
        <v>-5600</v>
      </c>
      <c r="C141" s="29">
        <f>3600+1200+9500+1900+B141</f>
        <v>10600</v>
      </c>
      <c r="E141" s="39" t="s">
        <v>189</v>
      </c>
      <c r="G141" s="22">
        <f>G140*0.2</f>
        <v>24000</v>
      </c>
      <c r="H141" s="22">
        <v>20</v>
      </c>
    </row>
    <row r="142" spans="1:16" x14ac:dyDescent="0.25">
      <c r="A142" s="46" t="s">
        <v>170</v>
      </c>
      <c r="B142" s="29"/>
      <c r="C142" s="29">
        <f>-64000-134000</f>
        <v>-198000</v>
      </c>
      <c r="E142" s="39" t="s">
        <v>190</v>
      </c>
      <c r="G142" s="25">
        <f>SUM(G140:G141)</f>
        <v>144000</v>
      </c>
      <c r="H142" s="22">
        <v>120</v>
      </c>
    </row>
    <row r="143" spans="1:16" x14ac:dyDescent="0.25">
      <c r="A143" s="46" t="s">
        <v>171</v>
      </c>
      <c r="B143" s="29">
        <f>+G161+G178</f>
        <v>3760</v>
      </c>
      <c r="C143" s="29">
        <f>-114000-98000+B143</f>
        <v>-208240</v>
      </c>
      <c r="E143" s="39" t="s">
        <v>191</v>
      </c>
      <c r="O143" s="22">
        <v>45000</v>
      </c>
      <c r="P143" s="22" t="s">
        <v>215</v>
      </c>
    </row>
    <row r="144" spans="1:16" x14ac:dyDescent="0.25">
      <c r="A144" s="46" t="s">
        <v>172</v>
      </c>
      <c r="B144" s="29">
        <f>+G184</f>
        <v>1200</v>
      </c>
      <c r="C144" s="29">
        <f>-12000-21000+B144</f>
        <v>-31800</v>
      </c>
      <c r="E144" s="39" t="s">
        <v>192</v>
      </c>
    </row>
    <row r="145" spans="1:18" x14ac:dyDescent="0.25">
      <c r="A145" s="46" t="s">
        <v>173</v>
      </c>
      <c r="B145" s="29">
        <f>-G190</f>
        <v>-2000</v>
      </c>
      <c r="C145" s="29">
        <f>B145</f>
        <v>-2000</v>
      </c>
      <c r="M145" s="60"/>
      <c r="N145" s="60" t="s">
        <v>206</v>
      </c>
      <c r="O145" s="60"/>
      <c r="P145" s="60"/>
    </row>
    <row r="146" spans="1:18" x14ac:dyDescent="0.25">
      <c r="A146" s="46" t="s">
        <v>16</v>
      </c>
      <c r="B146" s="29"/>
      <c r="C146" s="49">
        <f>SUM(C140:C145)</f>
        <v>173060</v>
      </c>
      <c r="E146" s="57" t="s">
        <v>193</v>
      </c>
      <c r="M146" s="60" t="s">
        <v>204</v>
      </c>
      <c r="N146" s="60"/>
      <c r="O146" s="60"/>
      <c r="P146" s="60" t="s">
        <v>205</v>
      </c>
    </row>
    <row r="147" spans="1:18" x14ac:dyDescent="0.25">
      <c r="A147" s="46" t="s">
        <v>174</v>
      </c>
      <c r="B147" s="29"/>
      <c r="C147" s="29">
        <f>-41000-5100</f>
        <v>-46100</v>
      </c>
      <c r="M147" s="60" t="s">
        <v>207</v>
      </c>
      <c r="N147" s="60"/>
      <c r="O147" s="60"/>
      <c r="P147" s="60" t="s">
        <v>208</v>
      </c>
    </row>
    <row r="148" spans="1:18" x14ac:dyDescent="0.25">
      <c r="A148" s="46" t="s">
        <v>175</v>
      </c>
      <c r="B148" s="29"/>
      <c r="C148" s="49">
        <f>SUM(C146:C147)</f>
        <v>126960</v>
      </c>
      <c r="E148" s="39" t="s">
        <v>194</v>
      </c>
      <c r="G148" s="22">
        <v>45000</v>
      </c>
      <c r="H148" s="22" t="s">
        <v>196</v>
      </c>
      <c r="M148" s="60"/>
      <c r="N148" s="60"/>
      <c r="O148" s="60"/>
      <c r="P148" s="60"/>
    </row>
    <row r="149" spans="1:18" x14ac:dyDescent="0.25">
      <c r="A149" s="46" t="s">
        <v>177</v>
      </c>
      <c r="B149" s="63" t="s">
        <v>239</v>
      </c>
      <c r="C149" s="61">
        <f>C148-C150</f>
        <v>123120</v>
      </c>
      <c r="E149" s="39" t="s">
        <v>195</v>
      </c>
      <c r="G149" s="31">
        <v>0.2</v>
      </c>
      <c r="H149" s="22" t="s">
        <v>198</v>
      </c>
      <c r="I149" s="32" t="s">
        <v>199</v>
      </c>
    </row>
    <row r="150" spans="1:18" x14ac:dyDescent="0.25">
      <c r="A150" s="46" t="s">
        <v>178</v>
      </c>
      <c r="B150" s="29"/>
      <c r="C150" s="61">
        <f>B160</f>
        <v>3840</v>
      </c>
      <c r="E150" s="39" t="s">
        <v>197</v>
      </c>
      <c r="G150" s="32" t="s">
        <v>200</v>
      </c>
      <c r="M150" s="22" t="s">
        <v>209</v>
      </c>
      <c r="N150" s="22" t="s">
        <v>210</v>
      </c>
      <c r="O150" s="22" t="s">
        <v>214</v>
      </c>
      <c r="P150" s="22" t="s">
        <v>211</v>
      </c>
      <c r="Q150" s="22" t="s">
        <v>216</v>
      </c>
      <c r="R150" s="22" t="s">
        <v>211</v>
      </c>
    </row>
    <row r="151" spans="1:18" x14ac:dyDescent="0.25">
      <c r="A151" s="46" t="s">
        <v>176</v>
      </c>
      <c r="B151" s="29"/>
      <c r="C151" s="29">
        <f>-1400+3200</f>
        <v>1800</v>
      </c>
      <c r="G151" s="32" t="s">
        <v>201</v>
      </c>
      <c r="K151" s="22" t="s">
        <v>212</v>
      </c>
      <c r="M151" s="22">
        <v>45000</v>
      </c>
      <c r="N151" s="22">
        <v>0</v>
      </c>
      <c r="O151" s="22">
        <v>-45000</v>
      </c>
      <c r="P151" s="22">
        <f>SUM(M151:O151)</f>
        <v>0</v>
      </c>
    </row>
    <row r="152" spans="1:18" x14ac:dyDescent="0.25">
      <c r="A152" s="46" t="s">
        <v>179</v>
      </c>
      <c r="B152" s="29"/>
      <c r="C152" s="49">
        <f>C148+C151</f>
        <v>128760</v>
      </c>
      <c r="G152" s="22">
        <f>45000/120*20</f>
        <v>7500</v>
      </c>
      <c r="K152" s="22" t="s">
        <v>213</v>
      </c>
      <c r="M152" s="22">
        <v>-37500</v>
      </c>
      <c r="N152" s="22">
        <v>0</v>
      </c>
      <c r="O152" s="22">
        <v>45000</v>
      </c>
      <c r="P152" s="22">
        <f>SUM(M152:O152)</f>
        <v>7500</v>
      </c>
      <c r="Q152" s="22">
        <v>-7500</v>
      </c>
      <c r="R152" s="22">
        <f>SUM(P152:Q152)</f>
        <v>0</v>
      </c>
    </row>
    <row r="153" spans="1:18" x14ac:dyDescent="0.25">
      <c r="A153" s="46" t="s">
        <v>180</v>
      </c>
      <c r="B153" s="63" t="s">
        <v>240</v>
      </c>
      <c r="C153" s="61">
        <f>C152-C154</f>
        <v>124280</v>
      </c>
      <c r="E153" s="39" t="s">
        <v>202</v>
      </c>
      <c r="M153" s="25">
        <f>SUM(M151:M152)</f>
        <v>7500</v>
      </c>
      <c r="N153" s="25">
        <f>SUM(N151:N152)</f>
        <v>0</v>
      </c>
    </row>
    <row r="154" spans="1:18" x14ac:dyDescent="0.25">
      <c r="A154" s="47" t="s">
        <v>181</v>
      </c>
      <c r="B154" s="48"/>
      <c r="C154" s="62">
        <f>B161</f>
        <v>4480</v>
      </c>
      <c r="E154" s="39" t="s">
        <v>203</v>
      </c>
    </row>
    <row r="155" spans="1:18" ht="5.25" customHeight="1" x14ac:dyDescent="0.25"/>
    <row r="156" spans="1:18" x14ac:dyDescent="0.25">
      <c r="A156" s="52" t="s">
        <v>182</v>
      </c>
      <c r="B156" s="53" t="s">
        <v>183</v>
      </c>
      <c r="C156" s="54" t="s">
        <v>184</v>
      </c>
    </row>
    <row r="157" spans="1:18" x14ac:dyDescent="0.25">
      <c r="A157" s="46" t="s">
        <v>185</v>
      </c>
      <c r="B157" s="50">
        <f>20000*0.2</f>
        <v>4000</v>
      </c>
      <c r="C157" s="29">
        <f>3200*0.2</f>
        <v>640</v>
      </c>
      <c r="E157" s="57" t="s">
        <v>217</v>
      </c>
    </row>
    <row r="158" spans="1:18" x14ac:dyDescent="0.25">
      <c r="A158" s="46" t="s">
        <v>186</v>
      </c>
      <c r="B158" s="50"/>
      <c r="C158" s="29"/>
    </row>
    <row r="159" spans="1:18" x14ac:dyDescent="0.25">
      <c r="A159" s="47" t="s">
        <v>227</v>
      </c>
      <c r="B159" s="51">
        <f>-G169*0.2</f>
        <v>-160</v>
      </c>
      <c r="C159" s="48"/>
      <c r="E159" s="39" t="s">
        <v>218</v>
      </c>
      <c r="G159" s="22">
        <v>300</v>
      </c>
    </row>
    <row r="160" spans="1:18" x14ac:dyDescent="0.25">
      <c r="B160" s="22">
        <f>SUM(B157:B159)</f>
        <v>3840</v>
      </c>
      <c r="C160" s="22">
        <f>SUM(C157:C159)</f>
        <v>640</v>
      </c>
      <c r="E160" s="39" t="s">
        <v>219</v>
      </c>
      <c r="G160" s="22">
        <v>12</v>
      </c>
    </row>
    <row r="161" spans="1:7" x14ac:dyDescent="0.25">
      <c r="A161" s="22" t="s">
        <v>181</v>
      </c>
      <c r="B161" s="25">
        <f>B160+C160</f>
        <v>4480</v>
      </c>
      <c r="E161" s="39" t="s">
        <v>220</v>
      </c>
      <c r="G161" s="25">
        <f>G159*G160</f>
        <v>3600</v>
      </c>
    </row>
    <row r="162" spans="1:7" x14ac:dyDescent="0.25">
      <c r="E162" s="39" t="s">
        <v>221</v>
      </c>
    </row>
    <row r="163" spans="1:7" x14ac:dyDescent="0.25">
      <c r="E163" s="39" t="s">
        <v>222</v>
      </c>
    </row>
    <row r="165" spans="1:7" x14ac:dyDescent="0.25">
      <c r="E165" s="57" t="s">
        <v>223</v>
      </c>
    </row>
    <row r="167" spans="1:7" x14ac:dyDescent="0.25">
      <c r="E167" s="39" t="s">
        <v>224</v>
      </c>
      <c r="G167" s="22">
        <v>8000</v>
      </c>
    </row>
    <row r="168" spans="1:7" x14ac:dyDescent="0.25">
      <c r="E168" s="39" t="s">
        <v>55</v>
      </c>
      <c r="G168" s="22">
        <v>-7200</v>
      </c>
    </row>
    <row r="169" spans="1:7" x14ac:dyDescent="0.25">
      <c r="E169" s="39" t="s">
        <v>197</v>
      </c>
      <c r="G169" s="25">
        <f>SUM(G167:G168)</f>
        <v>800</v>
      </c>
    </row>
    <row r="170" spans="1:7" x14ac:dyDescent="0.25">
      <c r="E170" s="39" t="s">
        <v>225</v>
      </c>
    </row>
    <row r="171" spans="1:7" x14ac:dyDescent="0.25">
      <c r="E171" s="39" t="s">
        <v>226</v>
      </c>
    </row>
    <row r="173" spans="1:7" x14ac:dyDescent="0.25">
      <c r="E173" s="57" t="s">
        <v>228</v>
      </c>
    </row>
    <row r="175" spans="1:7" x14ac:dyDescent="0.25">
      <c r="E175" s="39" t="s">
        <v>197</v>
      </c>
      <c r="G175" s="22">
        <f>G169</f>
        <v>800</v>
      </c>
    </row>
    <row r="176" spans="1:7" x14ac:dyDescent="0.25">
      <c r="E176" s="39" t="s">
        <v>117</v>
      </c>
      <c r="G176" s="22">
        <v>5</v>
      </c>
    </row>
    <row r="177" spans="5:7" x14ac:dyDescent="0.25">
      <c r="E177" s="39" t="s">
        <v>229</v>
      </c>
      <c r="G177" s="22">
        <v>1</v>
      </c>
    </row>
    <row r="178" spans="5:7" x14ac:dyDescent="0.25">
      <c r="E178" s="39" t="s">
        <v>230</v>
      </c>
      <c r="G178" s="25">
        <f>G175/G176*G177</f>
        <v>160</v>
      </c>
    </row>
    <row r="179" spans="5:7" x14ac:dyDescent="0.25">
      <c r="E179" s="39" t="s">
        <v>231</v>
      </c>
    </row>
    <row r="180" spans="5:7" x14ac:dyDescent="0.25">
      <c r="E180" s="39" t="s">
        <v>232</v>
      </c>
    </row>
    <row r="182" spans="5:7" x14ac:dyDescent="0.25">
      <c r="E182" s="57" t="s">
        <v>233</v>
      </c>
    </row>
    <row r="184" spans="5:7" x14ac:dyDescent="0.25">
      <c r="E184" s="39" t="s">
        <v>32</v>
      </c>
      <c r="G184" s="22">
        <v>1200</v>
      </c>
    </row>
    <row r="185" spans="5:7" x14ac:dyDescent="0.25">
      <c r="E185" s="39" t="s">
        <v>221</v>
      </c>
    </row>
    <row r="186" spans="5:7" x14ac:dyDescent="0.25">
      <c r="E186" s="39" t="s">
        <v>234</v>
      </c>
    </row>
    <row r="188" spans="5:7" x14ac:dyDescent="0.25">
      <c r="E188" s="57" t="s">
        <v>235</v>
      </c>
    </row>
    <row r="190" spans="5:7" x14ac:dyDescent="0.25">
      <c r="E190" s="39" t="s">
        <v>236</v>
      </c>
      <c r="G190" s="22">
        <v>2000</v>
      </c>
    </row>
    <row r="191" spans="5:7" x14ac:dyDescent="0.25">
      <c r="E191" s="39" t="s">
        <v>237</v>
      </c>
    </row>
    <row r="192" spans="5:7" x14ac:dyDescent="0.25">
      <c r="E192" s="39" t="s">
        <v>238</v>
      </c>
    </row>
  </sheetData>
  <mergeCells count="2">
    <mergeCell ref="A14:D14"/>
    <mergeCell ref="G8:H12"/>
  </mergeCells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D6E16-86AA-4E2E-B02E-89DBB418E6A3}">
  <dimension ref="A1:G23"/>
  <sheetViews>
    <sheetView topLeftCell="A4" workbookViewId="0">
      <selection activeCell="A24" sqref="A24"/>
    </sheetView>
  </sheetViews>
  <sheetFormatPr defaultRowHeight="15" x14ac:dyDescent="0.25"/>
  <sheetData>
    <row r="1" spans="1:7" x14ac:dyDescent="0.25">
      <c r="A1" s="86" t="s">
        <v>84</v>
      </c>
    </row>
    <row r="3" spans="1:7" x14ac:dyDescent="0.25">
      <c r="A3" t="s">
        <v>344</v>
      </c>
    </row>
    <row r="4" spans="1:7" x14ac:dyDescent="0.25">
      <c r="A4" t="s">
        <v>345</v>
      </c>
      <c r="G4" t="s">
        <v>209</v>
      </c>
    </row>
    <row r="5" spans="1:7" x14ac:dyDescent="0.25">
      <c r="A5" t="s">
        <v>346</v>
      </c>
      <c r="G5" t="s">
        <v>350</v>
      </c>
    </row>
    <row r="6" spans="1:7" x14ac:dyDescent="0.25">
      <c r="A6" t="s">
        <v>347</v>
      </c>
      <c r="G6" t="s">
        <v>351</v>
      </c>
    </row>
    <row r="7" spans="1:7" x14ac:dyDescent="0.25">
      <c r="A7" t="s">
        <v>348</v>
      </c>
      <c r="G7" t="s">
        <v>352</v>
      </c>
    </row>
    <row r="8" spans="1:7" x14ac:dyDescent="0.25">
      <c r="A8" t="s">
        <v>349</v>
      </c>
      <c r="G8" t="s">
        <v>50</v>
      </c>
    </row>
    <row r="10" spans="1:7" x14ac:dyDescent="0.25">
      <c r="A10" t="s">
        <v>353</v>
      </c>
    </row>
    <row r="11" spans="1:7" x14ac:dyDescent="0.25">
      <c r="A11" t="s">
        <v>354</v>
      </c>
    </row>
    <row r="12" spans="1:7" x14ac:dyDescent="0.25">
      <c r="A12" t="s">
        <v>355</v>
      </c>
    </row>
    <row r="14" spans="1:7" x14ac:dyDescent="0.25">
      <c r="A14" t="s">
        <v>356</v>
      </c>
    </row>
    <row r="15" spans="1:7" x14ac:dyDescent="0.25">
      <c r="A15" t="s">
        <v>357</v>
      </c>
    </row>
    <row r="17" spans="1:1" x14ac:dyDescent="0.25">
      <c r="A17" t="s">
        <v>358</v>
      </c>
    </row>
    <row r="18" spans="1:1" x14ac:dyDescent="0.25">
      <c r="A18" t="s">
        <v>359</v>
      </c>
    </row>
    <row r="20" spans="1:1" x14ac:dyDescent="0.25">
      <c r="A20" s="86" t="s">
        <v>360</v>
      </c>
    </row>
    <row r="22" spans="1:1" x14ac:dyDescent="0.25">
      <c r="A22" t="s">
        <v>361</v>
      </c>
    </row>
    <row r="23" spans="1:1" x14ac:dyDescent="0.25">
      <c r="A23" t="s">
        <v>362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FE26-A796-4485-8D20-81FE1B14DF69}">
  <dimension ref="A1:I32"/>
  <sheetViews>
    <sheetView tabSelected="1" topLeftCell="A18" workbookViewId="0">
      <selection activeCell="D34" sqref="D34"/>
    </sheetView>
  </sheetViews>
  <sheetFormatPr defaultRowHeight="15" x14ac:dyDescent="0.25"/>
  <cols>
    <col min="4" max="4" width="11.5703125" bestFit="1" customWidth="1"/>
  </cols>
  <sheetData>
    <row r="1" spans="1:9" x14ac:dyDescent="0.25">
      <c r="A1" s="86" t="s">
        <v>363</v>
      </c>
    </row>
    <row r="3" spans="1:9" x14ac:dyDescent="0.25">
      <c r="A3" t="s">
        <v>364</v>
      </c>
    </row>
    <row r="4" spans="1:9" x14ac:dyDescent="0.25">
      <c r="A4" s="87" t="s">
        <v>365</v>
      </c>
      <c r="B4" s="87"/>
      <c r="C4" s="87"/>
      <c r="D4" s="87"/>
      <c r="E4" s="87"/>
      <c r="F4" s="87"/>
      <c r="G4" s="87"/>
      <c r="H4" s="87"/>
      <c r="I4" s="87"/>
    </row>
    <row r="5" spans="1:9" x14ac:dyDescent="0.25">
      <c r="A5" s="87"/>
      <c r="B5" s="87"/>
      <c r="C5" s="87"/>
      <c r="D5" s="87"/>
      <c r="E5" s="87"/>
      <c r="F5" s="87"/>
      <c r="G5" s="87"/>
      <c r="H5" s="87"/>
      <c r="I5" s="87"/>
    </row>
    <row r="7" spans="1:9" x14ac:dyDescent="0.25">
      <c r="A7" t="s">
        <v>366</v>
      </c>
    </row>
    <row r="8" spans="1:9" x14ac:dyDescent="0.25">
      <c r="A8" s="87" t="s">
        <v>367</v>
      </c>
      <c r="B8" s="87"/>
      <c r="C8" s="87"/>
      <c r="D8" s="87"/>
      <c r="E8" s="87"/>
      <c r="F8" s="87"/>
      <c r="G8" s="87"/>
      <c r="H8" s="87"/>
      <c r="I8" s="87"/>
    </row>
    <row r="9" spans="1:9" x14ac:dyDescent="0.25">
      <c r="A9" s="87"/>
      <c r="B9" s="87"/>
      <c r="C9" s="87"/>
      <c r="D9" s="87"/>
      <c r="E9" s="87"/>
      <c r="F9" s="87"/>
      <c r="G9" s="87"/>
      <c r="H9" s="87"/>
      <c r="I9" s="87"/>
    </row>
    <row r="11" spans="1:9" x14ac:dyDescent="0.25">
      <c r="A11" t="s">
        <v>368</v>
      </c>
    </row>
    <row r="13" spans="1:9" x14ac:dyDescent="0.25">
      <c r="A13" t="s">
        <v>369</v>
      </c>
      <c r="D13" s="22">
        <v>1500000</v>
      </c>
    </row>
    <row r="14" spans="1:9" x14ac:dyDescent="0.25">
      <c r="A14" t="s">
        <v>370</v>
      </c>
      <c r="D14" s="88">
        <v>0.3</v>
      </c>
    </row>
    <row r="15" spans="1:9" x14ac:dyDescent="0.25">
      <c r="A15" t="s">
        <v>371</v>
      </c>
      <c r="D15" s="25">
        <f>D13*D14</f>
        <v>450000</v>
      </c>
    </row>
    <row r="17" spans="1:8" x14ac:dyDescent="0.25">
      <c r="A17" t="s">
        <v>372</v>
      </c>
    </row>
    <row r="19" spans="1:8" x14ac:dyDescent="0.25">
      <c r="A19" s="86" t="s">
        <v>373</v>
      </c>
    </row>
    <row r="21" spans="1:8" x14ac:dyDescent="0.25">
      <c r="A21" t="s">
        <v>374</v>
      </c>
    </row>
    <row r="22" spans="1:8" x14ac:dyDescent="0.25">
      <c r="A22" s="87" t="s">
        <v>375</v>
      </c>
      <c r="B22" s="87"/>
      <c r="C22" s="87"/>
      <c r="D22" s="87"/>
      <c r="E22" s="87"/>
      <c r="F22" s="87"/>
      <c r="G22" s="87"/>
      <c r="H22" s="87"/>
    </row>
    <row r="23" spans="1:8" x14ac:dyDescent="0.25">
      <c r="A23" s="87"/>
      <c r="B23" s="87"/>
      <c r="C23" s="87"/>
      <c r="D23" s="87"/>
      <c r="E23" s="87"/>
      <c r="F23" s="87"/>
      <c r="G23" s="87"/>
      <c r="H23" s="87"/>
    </row>
    <row r="24" spans="1:8" x14ac:dyDescent="0.25">
      <c r="A24" s="87"/>
      <c r="B24" s="87"/>
      <c r="C24" s="87"/>
      <c r="D24" s="87"/>
      <c r="E24" s="87"/>
      <c r="F24" s="87"/>
      <c r="G24" s="87"/>
      <c r="H24" s="87"/>
    </row>
    <row r="26" spans="1:8" x14ac:dyDescent="0.25">
      <c r="A26" t="s">
        <v>376</v>
      </c>
    </row>
    <row r="27" spans="1:8" x14ac:dyDescent="0.25">
      <c r="A27" s="87" t="s">
        <v>377</v>
      </c>
      <c r="B27" s="87"/>
      <c r="C27" s="87"/>
      <c r="D27" s="87"/>
      <c r="E27" s="87"/>
      <c r="F27" s="87"/>
      <c r="G27" s="87"/>
      <c r="H27" s="87"/>
    </row>
    <row r="28" spans="1:8" x14ac:dyDescent="0.25">
      <c r="A28" s="87"/>
      <c r="B28" s="87"/>
      <c r="C28" s="87"/>
      <c r="D28" s="87"/>
      <c r="E28" s="87"/>
      <c r="F28" s="87"/>
      <c r="G28" s="87"/>
      <c r="H28" s="87"/>
    </row>
    <row r="30" spans="1:8" x14ac:dyDescent="0.25">
      <c r="A30" t="s">
        <v>378</v>
      </c>
    </row>
    <row r="31" spans="1:8" x14ac:dyDescent="0.25">
      <c r="A31" s="87" t="s">
        <v>379</v>
      </c>
      <c r="B31" s="87"/>
      <c r="C31" s="87"/>
      <c r="D31" s="87"/>
      <c r="E31" s="87"/>
      <c r="F31" s="87"/>
      <c r="G31" s="87"/>
      <c r="H31" s="87"/>
    </row>
    <row r="32" spans="1:8" x14ac:dyDescent="0.25">
      <c r="A32" s="87"/>
      <c r="B32" s="87"/>
      <c r="C32" s="87"/>
      <c r="D32" s="87"/>
      <c r="E32" s="87"/>
      <c r="F32" s="87"/>
      <c r="G32" s="87"/>
      <c r="H32" s="87"/>
    </row>
  </sheetData>
  <mergeCells count="5">
    <mergeCell ref="A4:I5"/>
    <mergeCell ref="A8:I9"/>
    <mergeCell ref="A22:H24"/>
    <mergeCell ref="A27:H28"/>
    <mergeCell ref="A31:H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CF01</vt:lpstr>
      <vt:lpstr>CF01.1</vt:lpstr>
      <vt:lpstr>CF02</vt:lpstr>
      <vt:lpstr>CF02.1</vt:lpstr>
      <vt:lpstr>ConSFP</vt:lpstr>
      <vt:lpstr>ConPnL</vt:lpstr>
      <vt:lpstr>Answers</vt:lpstr>
      <vt:lpstr>Q5 and Q6</vt:lpstr>
      <vt:lpstr>Q7 and Q8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Sandeepa Jayasekera</dc:creator>
  <cp:lastModifiedBy>sandeepa jayasekera</cp:lastModifiedBy>
  <cp:lastPrinted>2023-02-24T06:26:30Z</cp:lastPrinted>
  <dcterms:created xsi:type="dcterms:W3CDTF">2023-02-24T05:38:00Z</dcterms:created>
  <dcterms:modified xsi:type="dcterms:W3CDTF">2025-12-10T18:04:19Z</dcterms:modified>
</cp:coreProperties>
</file>