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eams Tutes\Final\SL\CFRM\Set 04\"/>
    </mc:Choice>
  </mc:AlternateContent>
  <bookViews>
    <workbookView xWindow="0" yWindow="0" windowWidth="20490" windowHeight="711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8" l="1"/>
  <c r="H23" i="8"/>
  <c r="E25" i="8"/>
  <c r="F16" i="8"/>
  <c r="F17" i="8"/>
  <c r="A6" i="8"/>
  <c r="G3" i="8" s="1"/>
  <c r="F9" i="8" s="1"/>
  <c r="F10" i="8" s="1"/>
  <c r="D9" i="7"/>
  <c r="M15" i="6"/>
  <c r="M14" i="6"/>
  <c r="M13" i="6"/>
  <c r="M12" i="6"/>
  <c r="K9" i="6"/>
  <c r="K5" i="5"/>
  <c r="K4" i="5"/>
  <c r="K3" i="5"/>
  <c r="K2" i="5"/>
  <c r="K12" i="5"/>
  <c r="D9" i="5"/>
  <c r="J10" i="4"/>
  <c r="J14" i="4"/>
  <c r="J11" i="4"/>
  <c r="J9" i="4"/>
  <c r="K8" i="3"/>
  <c r="L8" i="3"/>
  <c r="M8" i="3"/>
  <c r="J8" i="3"/>
  <c r="K7" i="3"/>
  <c r="L7" i="3"/>
  <c r="L10" i="3" s="1"/>
  <c r="M7" i="3"/>
  <c r="J7" i="3"/>
  <c r="J10" i="3" s="1"/>
  <c r="L6" i="3"/>
  <c r="K6" i="3"/>
  <c r="K5" i="3"/>
  <c r="M4" i="3"/>
  <c r="M3" i="3"/>
  <c r="L3" i="3"/>
  <c r="N3" i="3" s="1"/>
  <c r="J9" i="3" s="1"/>
  <c r="I4" i="3"/>
  <c r="I5" i="3"/>
  <c r="I6" i="3"/>
  <c r="I3" i="3"/>
  <c r="K2" i="3"/>
  <c r="L2" i="3"/>
  <c r="M2" i="3"/>
  <c r="J2" i="3"/>
  <c r="F11" i="3"/>
  <c r="E11" i="3"/>
  <c r="D11" i="3"/>
  <c r="N6" i="3"/>
  <c r="M9" i="3" s="1"/>
  <c r="K10" i="3"/>
  <c r="N5" i="3"/>
  <c r="L9" i="3" s="1"/>
  <c r="N4" i="3"/>
  <c r="K9" i="3" s="1"/>
  <c r="N10" i="2"/>
  <c r="N11" i="2"/>
  <c r="N9" i="2"/>
  <c r="M10" i="2"/>
  <c r="M11" i="2" s="1"/>
  <c r="K11" i="2"/>
  <c r="L11" i="2"/>
  <c r="J11" i="2"/>
  <c r="L10" i="2"/>
  <c r="K10" i="2"/>
  <c r="J10" i="2"/>
  <c r="M9" i="2"/>
  <c r="L9" i="2"/>
  <c r="K9" i="2"/>
  <c r="J9" i="2"/>
  <c r="K7" i="2"/>
  <c r="L7" i="2"/>
  <c r="M7" i="2"/>
  <c r="J7" i="2"/>
  <c r="N4" i="2"/>
  <c r="N5" i="2"/>
  <c r="N6" i="2"/>
  <c r="N3" i="2"/>
  <c r="M4" i="2"/>
  <c r="L3" i="2"/>
  <c r="K5" i="2"/>
  <c r="J5" i="2"/>
  <c r="M3" i="2"/>
  <c r="L6" i="2"/>
  <c r="K6" i="2"/>
  <c r="J6" i="2"/>
  <c r="H14" i="2"/>
  <c r="E14" i="2"/>
  <c r="C14" i="2"/>
  <c r="F11" i="8" l="1"/>
  <c r="F12" i="8"/>
  <c r="L11" i="3"/>
  <c r="K11" i="3"/>
  <c r="N9" i="3"/>
  <c r="J11" i="3"/>
  <c r="M10" i="3"/>
  <c r="M11" i="3" s="1"/>
  <c r="N10" i="3" l="1"/>
  <c r="N11" i="3"/>
</calcChain>
</file>

<file path=xl/sharedStrings.xml><?xml version="1.0" encoding="utf-8"?>
<sst xmlns="http://schemas.openxmlformats.org/spreadsheetml/2006/main" count="164" uniqueCount="124">
  <si>
    <t>FOREX risk Mgt</t>
  </si>
  <si>
    <t xml:space="preserve">Internal </t>
  </si>
  <si>
    <t>External</t>
  </si>
  <si>
    <t>match receipts &amp; payment</t>
  </si>
  <si>
    <t>money mkt hedging</t>
  </si>
  <si>
    <t>leading &amp; lagging</t>
  </si>
  <si>
    <t>forward contracts</t>
  </si>
  <si>
    <t>invoicing in foreign currency</t>
  </si>
  <si>
    <t>options</t>
  </si>
  <si>
    <t>netting - MNC only</t>
  </si>
  <si>
    <t>futures</t>
  </si>
  <si>
    <t>swaps</t>
  </si>
  <si>
    <t>Debotrs</t>
  </si>
  <si>
    <t>K</t>
  </si>
  <si>
    <t>G</t>
  </si>
  <si>
    <t xml:space="preserve">J </t>
  </si>
  <si>
    <t>L</t>
  </si>
  <si>
    <t>Total</t>
  </si>
  <si>
    <t>CAD 3.4</t>
  </si>
  <si>
    <t>US$ 2.1</t>
  </si>
  <si>
    <t>Creditors</t>
  </si>
  <si>
    <t>JPY 320</t>
  </si>
  <si>
    <t>J</t>
  </si>
  <si>
    <t>CAD 1.1</t>
  </si>
  <si>
    <t>CAD 3.2</t>
  </si>
  <si>
    <t>US$ 4.5</t>
  </si>
  <si>
    <t>US$ 1.4</t>
  </si>
  <si>
    <t>US$ 1.5</t>
  </si>
  <si>
    <t>Receivable</t>
  </si>
  <si>
    <t>Payable</t>
  </si>
  <si>
    <t>Net</t>
  </si>
  <si>
    <t>K shall pay 0.04 to L</t>
  </si>
  <si>
    <t>G shall pay 0.51 to L</t>
  </si>
  <si>
    <t>Average Spot</t>
  </si>
  <si>
    <t>J shall pay 0.37 to L</t>
  </si>
  <si>
    <t>MUST PAY</t>
  </si>
  <si>
    <t>A</t>
  </si>
  <si>
    <t>B</t>
  </si>
  <si>
    <t>C</t>
  </si>
  <si>
    <t>D</t>
  </si>
  <si>
    <t>B38.8</t>
  </si>
  <si>
    <t xml:space="preserve">MUST </t>
  </si>
  <si>
    <t>CHF 15.9</t>
  </si>
  <si>
    <t>B51.2</t>
  </si>
  <si>
    <t>RECEIVE</t>
  </si>
  <si>
    <t>E24.89</t>
  </si>
  <si>
    <t>CHF 4.46</t>
  </si>
  <si>
    <t>E18.57</t>
  </si>
  <si>
    <t>IMPORTER - fututre payment</t>
  </si>
  <si>
    <t xml:space="preserve">                 $10Mn</t>
  </si>
  <si>
    <t>LKR 400</t>
  </si>
  <si>
    <t>this is the risk you must manage</t>
  </si>
  <si>
    <t>1$ = LKR 300</t>
  </si>
  <si>
    <t>LKR 300</t>
  </si>
  <si>
    <t>LKR 250</t>
  </si>
  <si>
    <t>STEP 01 - borrow LKR today for three months</t>
  </si>
  <si>
    <t>STEP 02 - Convert LKR loan to USD at spot rate</t>
  </si>
  <si>
    <t>USD requirement for FD</t>
  </si>
  <si>
    <t>STEP 03 - Make a USD fixed deposit for 3 months</t>
  </si>
  <si>
    <t>LKR requirement to buy USD</t>
  </si>
  <si>
    <t>STEP 04 - Settle the supplier once FD matured</t>
  </si>
  <si>
    <t>Finance cost on LKR borrowing</t>
  </si>
  <si>
    <t>STEP 05 - Pay the LKR loan with int after three months</t>
  </si>
  <si>
    <t>therefore actual payement to supplier</t>
  </si>
  <si>
    <t>if USD deposit rate 8% pa</t>
  </si>
  <si>
    <t>if LKR loan rate 12% pa</t>
  </si>
  <si>
    <t xml:space="preserve">K shall pay USD 4.5mn to L </t>
  </si>
  <si>
    <t>USD deposit requirement</t>
  </si>
  <si>
    <t>Pound requirement to USD</t>
  </si>
  <si>
    <t>L shall pay Usd 1.2 to K</t>
  </si>
  <si>
    <t>interest on pound loan</t>
  </si>
  <si>
    <t>Total cost on hedging</t>
  </si>
  <si>
    <t xml:space="preserve">         pound Mn</t>
  </si>
  <si>
    <t>USDmn</t>
  </si>
  <si>
    <t>in three months K shall pay Usd 2.4 mn to L</t>
  </si>
  <si>
    <t>USD deposit rate per quarter</t>
  </si>
  <si>
    <t>Exporter - future receipt</t>
  </si>
  <si>
    <t>USD 10mn</t>
  </si>
  <si>
    <t>USD 1 = LKR 300</t>
  </si>
  <si>
    <t>this is the risk shall manage</t>
  </si>
  <si>
    <t>borrow USD loan at the present value of future receitp at borrowing rate</t>
  </si>
  <si>
    <t>convert today FC borrowing into LC at today spot rate</t>
  </si>
  <si>
    <t>Deposit LC converted in a FD</t>
  </si>
  <si>
    <t>SFr borrowing requirement</t>
  </si>
  <si>
    <t>Conver in to Usd</t>
  </si>
  <si>
    <t>Deposit interest</t>
  </si>
  <si>
    <t>Total receipt</t>
  </si>
  <si>
    <t>July 2021 Q2 (a)</t>
  </si>
  <si>
    <t>ABC</t>
  </si>
  <si>
    <t>PQR</t>
  </si>
  <si>
    <t>Foreign customers</t>
  </si>
  <si>
    <t>Manufacturer</t>
  </si>
  <si>
    <t>25% mark-up</t>
  </si>
  <si>
    <t>trader</t>
  </si>
  <si>
    <t>30days</t>
  </si>
  <si>
    <t>after deducting 5% commission</t>
  </si>
  <si>
    <t>New proposed commission by PQR 9%</t>
  </si>
  <si>
    <t>Ex.</t>
  </si>
  <si>
    <t>cost 100</t>
  </si>
  <si>
    <t>Money Market Hedging</t>
  </si>
  <si>
    <t>EUR 1 = LKR 231</t>
  </si>
  <si>
    <t>LKR 320</t>
  </si>
  <si>
    <t>Euro Mn</t>
  </si>
  <si>
    <t>Entity shall borrow Euro today (1.38528/ (1+0.015)</t>
  </si>
  <si>
    <t>LKR value of borrowing (1.36481*231)</t>
  </si>
  <si>
    <t>Interest income on LKR deposit (315,271*3%)</t>
  </si>
  <si>
    <t>Total receipt in LKR Mn</t>
  </si>
  <si>
    <t>in 6 months</t>
  </si>
  <si>
    <t>Existing strategy</t>
  </si>
  <si>
    <t xml:space="preserve">sales value to PQR today </t>
  </si>
  <si>
    <t xml:space="preserve">LKR </t>
  </si>
  <si>
    <t>Receipt from PQR after 30days</t>
  </si>
  <si>
    <t>in 1 months</t>
  </si>
  <si>
    <t>Value of the receipt after another five months</t>
  </si>
  <si>
    <t>FORWARD CONTRACT</t>
  </si>
  <si>
    <t>USD 1 = LKR 195 and EUR 1 = USD 1.12</t>
  </si>
  <si>
    <t xml:space="preserve">1$ </t>
  </si>
  <si>
    <t>LKR 195</t>
  </si>
  <si>
    <t>one dollar is equal 195 rupees</t>
  </si>
  <si>
    <t>1 EUR</t>
  </si>
  <si>
    <t>USD 1.12</t>
  </si>
  <si>
    <t xml:space="preserve">USD 1.12 = LKR 1.12x195 = </t>
  </si>
  <si>
    <t>EUR</t>
  </si>
  <si>
    <t>after 6 months LKR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</si>
</sst>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2" borderId="0" xfId="0" applyFill="1"/>
    <xf numFmtId="43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3" fontId="0" fillId="2" borderId="0" xfId="0" applyNumberFormat="1" applyFill="1"/>
    <xf numFmtId="0" fontId="0" fillId="3" borderId="0" xfId="0" applyFill="1"/>
    <xf numFmtId="43" fontId="0" fillId="3" borderId="0" xfId="0" applyNumberFormat="1" applyFill="1"/>
    <xf numFmtId="43" fontId="4" fillId="3" borderId="0" xfId="0" applyNumberFormat="1" applyFont="1" applyFill="1"/>
    <xf numFmtId="8" fontId="0" fillId="0" borderId="1" xfId="0" applyNumberForma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0" borderId="0" xfId="0" applyFont="1"/>
    <xf numFmtId="0" fontId="5" fillId="0" borderId="0" xfId="0" applyFont="1"/>
    <xf numFmtId="43" fontId="0" fillId="0" borderId="0" xfId="1" applyFont="1"/>
    <xf numFmtId="43" fontId="3" fillId="0" borderId="2" xfId="1" applyFont="1" applyBorder="1" applyAlignment="1">
      <alignment horizontal="left"/>
    </xf>
    <xf numFmtId="164" fontId="0" fillId="0" borderId="0" xfId="1" applyNumberFormat="1" applyFont="1"/>
    <xf numFmtId="0" fontId="0" fillId="2" borderId="2" xfId="0" applyFill="1" applyBorder="1"/>
    <xf numFmtId="165" fontId="0" fillId="0" borderId="0" xfId="1" applyNumberFormat="1" applyFont="1"/>
    <xf numFmtId="165" fontId="0" fillId="2" borderId="2" xfId="1" applyNumberFormat="1" applyFont="1" applyFill="1" applyBorder="1"/>
    <xf numFmtId="0" fontId="6" fillId="0" borderId="0" xfId="0" applyFont="1"/>
    <xf numFmtId="0" fontId="3" fillId="2" borderId="0" xfId="0" applyFont="1" applyFill="1"/>
    <xf numFmtId="0" fontId="7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561974</xdr:colOff>
      <xdr:row>19</xdr:row>
      <xdr:rowOff>114300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199572</xdr:colOff>
      <xdr:row>8</xdr:row>
      <xdr:rowOff>132016</xdr:rowOff>
    </xdr:from>
    <xdr:to>
      <xdr:col>7</xdr:col>
      <xdr:colOff>408215</xdr:colOff>
      <xdr:row>12</xdr:row>
      <xdr:rowOff>32034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CBC590B-6269-4AC9-9999-25292C82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358" y="2272873"/>
          <a:ext cx="3868964" cy="662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20</xdr:col>
      <xdr:colOff>409574</xdr:colOff>
      <xdr:row>16</xdr:row>
      <xdr:rowOff>47625</xdr:rowOff>
    </xdr:to>
    <xdr:sp macro="" textlink="">
      <xdr:nvSpPr>
        <xdr:cNvPr id="4" name="Rectangle 3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2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370417</xdr:colOff>
      <xdr:row>8</xdr:row>
      <xdr:rowOff>79375</xdr:rowOff>
    </xdr:from>
    <xdr:to>
      <xdr:col>7</xdr:col>
      <xdr:colOff>187325</xdr:colOff>
      <xdr:row>9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98D6CE12-B5B8-4FF9-886D-D3CC2E42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417" y="2217208"/>
          <a:ext cx="4071408" cy="286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20</xdr:col>
      <xdr:colOff>409574</xdr:colOff>
      <xdr:row>16</xdr:row>
      <xdr:rowOff>47625</xdr:rowOff>
    </xdr:to>
    <xdr:sp macro="" textlink="">
      <xdr:nvSpPr>
        <xdr:cNvPr id="3" name="Rectangle 2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2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217714</xdr:colOff>
      <xdr:row>5</xdr:row>
      <xdr:rowOff>104322</xdr:rowOff>
    </xdr:from>
    <xdr:to>
      <xdr:col>6</xdr:col>
      <xdr:colOff>594179</xdr:colOff>
      <xdr:row>5</xdr:row>
      <xdr:rowOff>108858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7936846E-5466-408F-9541-B1FC9223BF3E}"/>
            </a:ext>
          </a:extLst>
        </xdr:cNvPr>
        <xdr:cNvCxnSpPr/>
      </xdr:nvCxnSpPr>
      <xdr:spPr>
        <a:xfrm flipV="1">
          <a:off x="825500" y="1034143"/>
          <a:ext cx="3415393" cy="453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229507</xdr:colOff>
      <xdr:row>4</xdr:row>
      <xdr:rowOff>68036</xdr:rowOff>
    </xdr:from>
    <xdr:to>
      <xdr:col>6</xdr:col>
      <xdr:colOff>589643</xdr:colOff>
      <xdr:row>5</xdr:row>
      <xdr:rowOff>66222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1F175402-D72A-4D49-883C-00C2F4DDAF8A}"/>
            </a:ext>
          </a:extLst>
        </xdr:cNvPr>
        <xdr:cNvCxnSpPr/>
      </xdr:nvCxnSpPr>
      <xdr:spPr>
        <a:xfrm flipV="1">
          <a:off x="837293" y="811893"/>
          <a:ext cx="3399064" cy="184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227693</xdr:colOff>
      <xdr:row>5</xdr:row>
      <xdr:rowOff>136979</xdr:rowOff>
    </xdr:from>
    <xdr:to>
      <xdr:col>6</xdr:col>
      <xdr:colOff>571500</xdr:colOff>
      <xdr:row>6</xdr:row>
      <xdr:rowOff>127000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455DCA48-0B43-4A07-B7F1-143502F1C758}"/>
            </a:ext>
          </a:extLst>
        </xdr:cNvPr>
        <xdr:cNvCxnSpPr/>
      </xdr:nvCxnSpPr>
      <xdr:spPr>
        <a:xfrm>
          <a:off x="835479" y="1066800"/>
          <a:ext cx="3382735" cy="17598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161924</xdr:colOff>
      <xdr:row>19</xdr:row>
      <xdr:rowOff>114300</xdr:rowOff>
    </xdr:to>
    <xdr:sp macro="" textlink="">
      <xdr:nvSpPr>
        <xdr:cNvPr id="6" name="Rectangle 5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367392</xdr:colOff>
      <xdr:row>10</xdr:row>
      <xdr:rowOff>148438</xdr:rowOff>
    </xdr:from>
    <xdr:to>
      <xdr:col>6</xdr:col>
      <xdr:colOff>276678</xdr:colOff>
      <xdr:row>16</xdr:row>
      <xdr:rowOff>154215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32C336F-FF32-4FCD-A7F7-EB4D9203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2" y="2017152"/>
          <a:ext cx="3673929" cy="1121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145142</xdr:colOff>
      <xdr:row>12</xdr:row>
      <xdr:rowOff>132850</xdr:rowOff>
    </xdr:from>
    <xdr:to>
      <xdr:col>13</xdr:col>
      <xdr:colOff>321127</xdr:colOff>
      <xdr:row>14</xdr:row>
      <xdr:rowOff>174170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2B3421C-8FEA-4751-9F3B-D7639CBF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9785" y="2373493"/>
          <a:ext cx="4430485" cy="413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20</xdr:col>
      <xdr:colOff>190499</xdr:colOff>
      <xdr:row>19</xdr:row>
      <xdr:rowOff>76200</xdr:rowOff>
    </xdr:to>
    <xdr:sp macro="" textlink="">
      <xdr:nvSpPr>
        <xdr:cNvPr id="4" name="Rectangle 3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3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394607</xdr:colOff>
      <xdr:row>3</xdr:row>
      <xdr:rowOff>68036</xdr:rowOff>
    </xdr:from>
    <xdr:to>
      <xdr:col>8</xdr:col>
      <xdr:colOff>9071</xdr:colOff>
      <xdr:row>4</xdr:row>
      <xdr:rowOff>61686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FE24BC84-7C11-4CB4-AF01-E5F79B9130B1}"/>
            </a:ext>
          </a:extLst>
        </xdr:cNvPr>
        <xdr:cNvCxnSpPr/>
      </xdr:nvCxnSpPr>
      <xdr:spPr>
        <a:xfrm flipV="1">
          <a:off x="1610178" y="625929"/>
          <a:ext cx="3261179" cy="17961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456293</xdr:colOff>
      <xdr:row>4</xdr:row>
      <xdr:rowOff>99786</xdr:rowOff>
    </xdr:from>
    <xdr:to>
      <xdr:col>8</xdr:col>
      <xdr:colOff>4535</xdr:colOff>
      <xdr:row>4</xdr:row>
      <xdr:rowOff>109765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E8FA45D7-B07C-4262-B7C7-F75A3AE6A7B1}"/>
            </a:ext>
          </a:extLst>
        </xdr:cNvPr>
        <xdr:cNvCxnSpPr/>
      </xdr:nvCxnSpPr>
      <xdr:spPr>
        <a:xfrm flipV="1">
          <a:off x="1671864" y="843643"/>
          <a:ext cx="3194957" cy="997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404585</xdr:colOff>
      <xdr:row>4</xdr:row>
      <xdr:rowOff>148772</xdr:rowOff>
    </xdr:from>
    <xdr:to>
      <xdr:col>7</xdr:col>
      <xdr:colOff>589643</xdr:colOff>
      <xdr:row>5</xdr:row>
      <xdr:rowOff>117929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33CCE827-D658-4823-8339-5BECCFF22291}"/>
            </a:ext>
          </a:extLst>
        </xdr:cNvPr>
        <xdr:cNvCxnSpPr/>
      </xdr:nvCxnSpPr>
      <xdr:spPr>
        <a:xfrm>
          <a:off x="1620156" y="892629"/>
          <a:ext cx="3223987" cy="15512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10</xdr:row>
      <xdr:rowOff>172357</xdr:rowOff>
    </xdr:from>
    <xdr:to>
      <xdr:col>8</xdr:col>
      <xdr:colOff>595777</xdr:colOff>
      <xdr:row>30</xdr:row>
      <xdr:rowOff>21759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2B1C1869-A790-4853-9939-0C2705FF1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786" y="2032000"/>
          <a:ext cx="4850277" cy="357775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19</xdr:col>
      <xdr:colOff>495299</xdr:colOff>
      <xdr:row>19</xdr:row>
      <xdr:rowOff>95250</xdr:rowOff>
    </xdr:to>
    <xdr:sp macro="" textlink="">
      <xdr:nvSpPr>
        <xdr:cNvPr id="6" name="Rectangle 5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2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149679</xdr:colOff>
      <xdr:row>2</xdr:row>
      <xdr:rowOff>167821</xdr:rowOff>
    </xdr:from>
    <xdr:to>
      <xdr:col>4</xdr:col>
      <xdr:colOff>571500</xdr:colOff>
      <xdr:row>2</xdr:row>
      <xdr:rowOff>172357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14FEFBCE-D9E2-485F-82BE-80B6A0E47635}"/>
            </a:ext>
          </a:extLst>
        </xdr:cNvPr>
        <xdr:cNvCxnSpPr/>
      </xdr:nvCxnSpPr>
      <xdr:spPr>
        <a:xfrm>
          <a:off x="1365250" y="539750"/>
          <a:ext cx="1637393" cy="453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524329</xdr:colOff>
      <xdr:row>2</xdr:row>
      <xdr:rowOff>166006</xdr:rowOff>
    </xdr:from>
    <xdr:to>
      <xdr:col>8</xdr:col>
      <xdr:colOff>338365</xdr:colOff>
      <xdr:row>2</xdr:row>
      <xdr:rowOff>170542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ECDE8466-7808-4B03-AEA5-7C669FF73EE3}"/>
            </a:ext>
          </a:extLst>
        </xdr:cNvPr>
        <xdr:cNvCxnSpPr/>
      </xdr:nvCxnSpPr>
      <xdr:spPr>
        <a:xfrm>
          <a:off x="3563258" y="537935"/>
          <a:ext cx="1637393" cy="453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195036</xdr:colOff>
      <xdr:row>4</xdr:row>
      <xdr:rowOff>86179</xdr:rowOff>
    </xdr:from>
    <xdr:to>
      <xdr:col>5</xdr:col>
      <xdr:colOff>45357</xdr:colOff>
      <xdr:row>4</xdr:row>
      <xdr:rowOff>104322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4810B459-6A10-46B3-80A2-DD53C4E1A824}"/>
            </a:ext>
          </a:extLst>
        </xdr:cNvPr>
        <xdr:cNvCxnSpPr/>
      </xdr:nvCxnSpPr>
      <xdr:spPr>
        <a:xfrm flipH="1">
          <a:off x="802822" y="830036"/>
          <a:ext cx="2281464" cy="181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134257</xdr:colOff>
      <xdr:row>7</xdr:row>
      <xdr:rowOff>88900</xdr:rowOff>
    </xdr:from>
    <xdr:to>
      <xdr:col>4</xdr:col>
      <xdr:colOff>556078</xdr:colOff>
      <xdr:row>7</xdr:row>
      <xdr:rowOff>93436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xmlns="" id="{A6B64D5C-3397-450C-BE8E-F8EF91F435A1}"/>
            </a:ext>
          </a:extLst>
        </xdr:cNvPr>
        <xdr:cNvCxnSpPr/>
      </xdr:nvCxnSpPr>
      <xdr:spPr>
        <a:xfrm>
          <a:off x="1349828" y="1390650"/>
          <a:ext cx="1637393" cy="453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465365</xdr:colOff>
      <xdr:row>7</xdr:row>
      <xdr:rowOff>179614</xdr:rowOff>
    </xdr:from>
    <xdr:to>
      <xdr:col>5</xdr:col>
      <xdr:colOff>315686</xdr:colOff>
      <xdr:row>8</xdr:row>
      <xdr:rowOff>11793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xmlns="" id="{75EBE0B0-4DE0-4C97-BF30-C6FFBCC6EA20}"/>
            </a:ext>
          </a:extLst>
        </xdr:cNvPr>
        <xdr:cNvCxnSpPr/>
      </xdr:nvCxnSpPr>
      <xdr:spPr>
        <a:xfrm flipH="1">
          <a:off x="1073151" y="1481364"/>
          <a:ext cx="2281464" cy="181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276224</xdr:colOff>
      <xdr:row>19</xdr:row>
      <xdr:rowOff>114300</xdr:rowOff>
    </xdr:to>
    <xdr:sp macro="" textlink="">
      <xdr:nvSpPr>
        <xdr:cNvPr id="7" name="Rectangle 6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231321</xdr:colOff>
      <xdr:row>0</xdr:row>
      <xdr:rowOff>82574</xdr:rowOff>
    </xdr:from>
    <xdr:to>
      <xdr:col>11</xdr:col>
      <xdr:colOff>222333</xdr:colOff>
      <xdr:row>3</xdr:row>
      <xdr:rowOff>49714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6B13136-23C0-4A67-A401-6AE89A6A2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5821" y="82574"/>
          <a:ext cx="2422155" cy="5250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20</xdr:col>
      <xdr:colOff>76199</xdr:colOff>
      <xdr:row>19</xdr:row>
      <xdr:rowOff>95250</xdr:rowOff>
    </xdr:to>
    <xdr:sp macro="" textlink="">
      <xdr:nvSpPr>
        <xdr:cNvPr id="3" name="Rectangle 2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2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tabSelected="1" zoomScaleNormal="100" workbookViewId="0">
      <selection activeCell="K21" sqref="K21"/>
    </sheetView>
  </sheetViews>
  <sheetFormatPr defaultRowHeight="15" x14ac:dyDescent="0.25"/>
  <cols>
    <col min="2" max="2" width="23.140625" customWidth="1"/>
  </cols>
  <sheetData>
    <row r="2" spans="1:4" x14ac:dyDescent="0.25">
      <c r="C2" t="s">
        <v>0</v>
      </c>
    </row>
    <row r="3" spans="1:4" x14ac:dyDescent="0.25">
      <c r="B3" t="s">
        <v>1</v>
      </c>
      <c r="D3" t="s">
        <v>2</v>
      </c>
    </row>
    <row r="4" spans="1:4" x14ac:dyDescent="0.25">
      <c r="A4">
        <v>1</v>
      </c>
      <c r="B4" s="1" t="s">
        <v>3</v>
      </c>
      <c r="C4">
        <v>1</v>
      </c>
      <c r="D4" t="s">
        <v>4</v>
      </c>
    </row>
    <row r="5" spans="1:4" x14ac:dyDescent="0.25">
      <c r="A5">
        <v>2</v>
      </c>
      <c r="B5" s="1" t="s">
        <v>5</v>
      </c>
      <c r="C5">
        <v>2</v>
      </c>
      <c r="D5" t="s">
        <v>6</v>
      </c>
    </row>
    <row r="6" spans="1:4" x14ac:dyDescent="0.25">
      <c r="A6">
        <v>3</v>
      </c>
      <c r="B6" s="1" t="s">
        <v>7</v>
      </c>
      <c r="C6">
        <v>3</v>
      </c>
      <c r="D6" t="s">
        <v>8</v>
      </c>
    </row>
    <row r="7" spans="1:4" x14ac:dyDescent="0.25">
      <c r="A7">
        <v>4</v>
      </c>
      <c r="B7" t="s">
        <v>9</v>
      </c>
      <c r="C7">
        <v>4</v>
      </c>
      <c r="D7" t="s">
        <v>10</v>
      </c>
    </row>
    <row r="8" spans="1:4" x14ac:dyDescent="0.25">
      <c r="C8">
        <v>5</v>
      </c>
      <c r="D8" t="s">
        <v>11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workbookViewId="0"/>
  </sheetViews>
  <sheetFormatPr defaultRowHeight="15" x14ac:dyDescent="0.25"/>
  <cols>
    <col min="3" max="6" width="10.140625" customWidth="1"/>
    <col min="7" max="7" width="2.85546875" customWidth="1"/>
    <col min="9" max="9" width="9.42578125" customWidth="1"/>
  </cols>
  <sheetData>
    <row r="1" spans="1:14" x14ac:dyDescent="0.25">
      <c r="D1" t="s">
        <v>12</v>
      </c>
      <c r="H1" s="4"/>
      <c r="I1" s="4"/>
      <c r="J1" s="4"/>
      <c r="K1" s="4" t="s">
        <v>12</v>
      </c>
      <c r="L1" s="4"/>
      <c r="M1" s="4"/>
      <c r="N1" s="4"/>
    </row>
    <row r="2" spans="1:14" x14ac:dyDescent="0.25">
      <c r="C2" t="s">
        <v>13</v>
      </c>
      <c r="D2" t="s">
        <v>14</v>
      </c>
      <c r="E2" t="s">
        <v>15</v>
      </c>
      <c r="F2" t="s">
        <v>16</v>
      </c>
      <c r="H2" s="4"/>
      <c r="I2" s="4"/>
      <c r="J2" s="4" t="s">
        <v>13</v>
      </c>
      <c r="K2" s="4" t="s">
        <v>14</v>
      </c>
      <c r="L2" s="4" t="s">
        <v>15</v>
      </c>
      <c r="M2" s="4" t="s">
        <v>16</v>
      </c>
      <c r="N2" s="4" t="s">
        <v>17</v>
      </c>
    </row>
    <row r="3" spans="1:14" ht="27.6" customHeight="1" x14ac:dyDescent="0.25">
      <c r="B3" t="s">
        <v>13</v>
      </c>
      <c r="C3" s="3">
        <v>0</v>
      </c>
      <c r="D3" s="3">
        <v>0</v>
      </c>
      <c r="E3" s="2" t="s">
        <v>18</v>
      </c>
      <c r="F3" s="2" t="s">
        <v>19</v>
      </c>
      <c r="H3" s="4"/>
      <c r="I3" s="4" t="s">
        <v>13</v>
      </c>
      <c r="J3" s="5">
        <v>0</v>
      </c>
      <c r="K3" s="5">
        <v>0</v>
      </c>
      <c r="L3" s="6">
        <f>3.4/E14</f>
        <v>2.1656050955414012</v>
      </c>
      <c r="M3" s="6">
        <f>2.1/1.595</f>
        <v>1.3166144200626959</v>
      </c>
      <c r="N3" s="7">
        <f>SUM(J3:M3)</f>
        <v>3.4822195156040969</v>
      </c>
    </row>
    <row r="4" spans="1:14" ht="27.6" customHeight="1" x14ac:dyDescent="0.25">
      <c r="A4" t="s">
        <v>20</v>
      </c>
      <c r="B4" t="s">
        <v>14</v>
      </c>
      <c r="C4" s="3">
        <v>0</v>
      </c>
      <c r="D4" s="3">
        <v>0</v>
      </c>
      <c r="E4" s="2">
        <v>0</v>
      </c>
      <c r="F4" s="2" t="s">
        <v>21</v>
      </c>
      <c r="H4" s="4" t="s">
        <v>20</v>
      </c>
      <c r="I4" s="4" t="s">
        <v>14</v>
      </c>
      <c r="J4" s="5">
        <v>0</v>
      </c>
      <c r="K4" s="5">
        <v>0</v>
      </c>
      <c r="L4" s="6">
        <v>0</v>
      </c>
      <c r="M4" s="6">
        <f>320/H14</f>
        <v>2.4105461393596985</v>
      </c>
      <c r="N4" s="7">
        <f t="shared" ref="N4:N6" si="0">SUM(J4:M4)</f>
        <v>2.4105461393596985</v>
      </c>
    </row>
    <row r="5" spans="1:14" ht="27.6" customHeight="1" x14ac:dyDescent="0.25">
      <c r="B5" t="s">
        <v>22</v>
      </c>
      <c r="C5" s="2" t="s">
        <v>23</v>
      </c>
      <c r="D5" s="2" t="s">
        <v>24</v>
      </c>
      <c r="E5" s="3">
        <v>0</v>
      </c>
      <c r="F5" s="3">
        <v>0</v>
      </c>
      <c r="H5" s="4"/>
      <c r="I5" s="4" t="s">
        <v>22</v>
      </c>
      <c r="J5" s="6">
        <f>1.1/1.57</f>
        <v>0.7006369426751593</v>
      </c>
      <c r="K5" s="6">
        <f>3.2/E14</f>
        <v>2.0382165605095546</v>
      </c>
      <c r="L5" s="5">
        <v>0</v>
      </c>
      <c r="M5" s="5">
        <v>0</v>
      </c>
      <c r="N5" s="7">
        <f t="shared" si="0"/>
        <v>2.7388535031847141</v>
      </c>
    </row>
    <row r="6" spans="1:14" ht="27.6" customHeight="1" x14ac:dyDescent="0.25">
      <c r="B6" t="s">
        <v>16</v>
      </c>
      <c r="C6" s="2" t="s">
        <v>25</v>
      </c>
      <c r="D6" s="2" t="s">
        <v>26</v>
      </c>
      <c r="E6" s="2" t="s">
        <v>27</v>
      </c>
      <c r="F6" s="3">
        <v>0</v>
      </c>
      <c r="H6" s="4"/>
      <c r="I6" s="4" t="s">
        <v>16</v>
      </c>
      <c r="J6" s="6">
        <f>4.5/1.595</f>
        <v>2.8213166144200628</v>
      </c>
      <c r="K6" s="6">
        <f>1.4/1.595</f>
        <v>0.87774294670846387</v>
      </c>
      <c r="L6" s="6">
        <f>1.5/1.595</f>
        <v>0.94043887147335425</v>
      </c>
      <c r="M6" s="5">
        <v>0</v>
      </c>
      <c r="N6" s="7">
        <f t="shared" si="0"/>
        <v>4.6394984326018811</v>
      </c>
    </row>
    <row r="7" spans="1:14" x14ac:dyDescent="0.25">
      <c r="H7" s="4"/>
      <c r="I7" s="4" t="s">
        <v>17</v>
      </c>
      <c r="J7" s="7">
        <f>SUM(J3:J6)</f>
        <v>3.5219535570952223</v>
      </c>
      <c r="K7" s="7">
        <f t="shared" ref="K7:M7" si="1">SUM(K3:K6)</f>
        <v>2.9159595072180187</v>
      </c>
      <c r="L7" s="7">
        <f t="shared" si="1"/>
        <v>3.1060439670147555</v>
      </c>
      <c r="M7" s="7">
        <f t="shared" si="1"/>
        <v>3.7271605594223942</v>
      </c>
      <c r="N7" s="4"/>
    </row>
    <row r="8" spans="1:14" x14ac:dyDescent="0.25">
      <c r="I8" s="8"/>
      <c r="J8" s="8" t="s">
        <v>13</v>
      </c>
      <c r="K8" s="8" t="s">
        <v>14</v>
      </c>
      <c r="L8" s="8" t="s">
        <v>15</v>
      </c>
      <c r="M8" s="8" t="s">
        <v>16</v>
      </c>
      <c r="N8" s="8" t="s">
        <v>17</v>
      </c>
    </row>
    <row r="9" spans="1:14" x14ac:dyDescent="0.25">
      <c r="I9" s="8" t="s">
        <v>28</v>
      </c>
      <c r="J9" s="9">
        <f>N3</f>
        <v>3.4822195156040969</v>
      </c>
      <c r="K9" s="9">
        <f>N4</f>
        <v>2.4105461393596985</v>
      </c>
      <c r="L9" s="9">
        <f>N5</f>
        <v>2.7388535031847141</v>
      </c>
      <c r="M9" s="9">
        <f>N6</f>
        <v>4.6394984326018811</v>
      </c>
      <c r="N9" s="9">
        <f>SUM(J9:M9)</f>
        <v>13.271117590750391</v>
      </c>
    </row>
    <row r="10" spans="1:14" ht="17.25" x14ac:dyDescent="0.4">
      <c r="I10" s="8" t="s">
        <v>29</v>
      </c>
      <c r="J10" s="10">
        <f>-J7</f>
        <v>-3.5219535570952223</v>
      </c>
      <c r="K10" s="10">
        <f>-K7</f>
        <v>-2.9159595072180187</v>
      </c>
      <c r="L10" s="10">
        <f>-L7</f>
        <v>-3.1060439670147555</v>
      </c>
      <c r="M10" s="10">
        <f>-M7</f>
        <v>-3.7271605594223942</v>
      </c>
      <c r="N10" s="10">
        <f t="shared" ref="N10:N11" si="2">SUM(J10:M10)</f>
        <v>-13.271117590750391</v>
      </c>
    </row>
    <row r="11" spans="1:14" x14ac:dyDescent="0.25">
      <c r="I11" s="8" t="s">
        <v>30</v>
      </c>
      <c r="J11" s="9">
        <f>J9+J10</f>
        <v>-3.973404149112536E-2</v>
      </c>
      <c r="K11" s="9">
        <f t="shared" ref="K11:M11" si="3">K9+K10</f>
        <v>-0.50541336785832014</v>
      </c>
      <c r="L11" s="9">
        <f t="shared" si="3"/>
        <v>-0.36719046383004139</v>
      </c>
      <c r="M11" s="9">
        <f t="shared" si="3"/>
        <v>0.91233787317948689</v>
      </c>
      <c r="N11" s="9">
        <f t="shared" si="2"/>
        <v>0</v>
      </c>
    </row>
    <row r="12" spans="1:14" x14ac:dyDescent="0.25">
      <c r="J12" t="s">
        <v>31</v>
      </c>
    </row>
    <row r="13" spans="1:14" x14ac:dyDescent="0.25">
      <c r="J13" t="s">
        <v>32</v>
      </c>
    </row>
    <row r="14" spans="1:14" x14ac:dyDescent="0.25">
      <c r="A14" t="s">
        <v>33</v>
      </c>
      <c r="C14">
        <f>(1.5938+1.5962)/2</f>
        <v>1.5950000000000002</v>
      </c>
      <c r="E14">
        <f>(1.569+1.571)/2</f>
        <v>1.5699999999999998</v>
      </c>
      <c r="H14">
        <f>(131.91+133.59)/2</f>
        <v>132.75</v>
      </c>
      <c r="J14" t="s">
        <v>34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workbookViewId="0"/>
  </sheetViews>
  <sheetFormatPr defaultRowHeight="15" x14ac:dyDescent="0.25"/>
  <cols>
    <col min="3" max="6" width="10.140625" customWidth="1"/>
    <col min="7" max="7" width="2.85546875" customWidth="1"/>
    <col min="9" max="9" width="9.42578125" customWidth="1"/>
  </cols>
  <sheetData>
    <row r="1" spans="1:14" x14ac:dyDescent="0.25">
      <c r="D1" t="s">
        <v>35</v>
      </c>
      <c r="H1" s="4"/>
      <c r="I1" s="4"/>
      <c r="J1" s="4"/>
      <c r="K1" s="4" t="s">
        <v>12</v>
      </c>
      <c r="L1" s="4"/>
      <c r="M1" s="4"/>
      <c r="N1" s="4"/>
    </row>
    <row r="2" spans="1:14" x14ac:dyDescent="0.25">
      <c r="C2" t="s">
        <v>36</v>
      </c>
      <c r="D2" t="s">
        <v>37</v>
      </c>
      <c r="E2" t="s">
        <v>38</v>
      </c>
      <c r="F2" t="s">
        <v>39</v>
      </c>
      <c r="H2" s="4"/>
      <c r="I2" s="4"/>
      <c r="J2" s="4" t="str">
        <f>C2</f>
        <v>A</v>
      </c>
      <c r="K2" s="4" t="str">
        <f t="shared" ref="K2:M2" si="0">D2</f>
        <v>B</v>
      </c>
      <c r="L2" s="4" t="str">
        <f t="shared" si="0"/>
        <v>C</v>
      </c>
      <c r="M2" s="4" t="str">
        <f t="shared" si="0"/>
        <v>D</v>
      </c>
      <c r="N2" s="4" t="s">
        <v>17</v>
      </c>
    </row>
    <row r="3" spans="1:14" ht="27.6" customHeight="1" x14ac:dyDescent="0.25">
      <c r="B3" t="s">
        <v>36</v>
      </c>
      <c r="C3" s="3"/>
      <c r="D3" s="3"/>
      <c r="E3" s="11">
        <v>27.08</v>
      </c>
      <c r="F3" s="2" t="s">
        <v>40</v>
      </c>
      <c r="H3" s="4"/>
      <c r="I3" s="4" t="str">
        <f>B3</f>
        <v>A</v>
      </c>
      <c r="J3" s="5"/>
      <c r="K3" s="5"/>
      <c r="L3" s="6">
        <f>27.08/E11</f>
        <v>24.159157819609241</v>
      </c>
      <c r="M3" s="6">
        <f>38.8/F11</f>
        <v>12.290538186195317</v>
      </c>
      <c r="N3" s="7">
        <f>SUM(J3:M3)</f>
        <v>36.449696005804554</v>
      </c>
    </row>
    <row r="4" spans="1:14" ht="27.6" customHeight="1" x14ac:dyDescent="0.25">
      <c r="A4" t="s">
        <v>41</v>
      </c>
      <c r="B4" t="s">
        <v>37</v>
      </c>
      <c r="C4" s="3" t="s">
        <v>42</v>
      </c>
      <c r="D4" s="3"/>
      <c r="E4" s="2"/>
      <c r="F4" s="2" t="s">
        <v>43</v>
      </c>
      <c r="H4" s="4" t="s">
        <v>20</v>
      </c>
      <c r="I4" s="4" t="str">
        <f t="shared" ref="I4:I6" si="1">B4</f>
        <v>B</v>
      </c>
      <c r="J4" s="5">
        <v>15.9</v>
      </c>
      <c r="K4" s="5"/>
      <c r="L4" s="6"/>
      <c r="M4" s="6">
        <f>51.2/F11</f>
        <v>16.218442142608254</v>
      </c>
      <c r="N4" s="7">
        <f t="shared" ref="N4:N6" si="2">SUM(J4:M4)</f>
        <v>32.118442142608252</v>
      </c>
    </row>
    <row r="5" spans="1:14" ht="27.6" customHeight="1" x14ac:dyDescent="0.25">
      <c r="A5" t="s">
        <v>44</v>
      </c>
      <c r="B5" t="s">
        <v>38</v>
      </c>
      <c r="C5" s="2"/>
      <c r="D5" s="2" t="s">
        <v>45</v>
      </c>
      <c r="E5" s="3"/>
      <c r="F5" s="3"/>
      <c r="H5" s="4"/>
      <c r="I5" s="4" t="str">
        <f t="shared" si="1"/>
        <v>C</v>
      </c>
      <c r="J5" s="6"/>
      <c r="K5" s="6">
        <f>24.89/D11</f>
        <v>26.59756358196196</v>
      </c>
      <c r="L5" s="5"/>
      <c r="M5" s="5"/>
      <c r="N5" s="7">
        <f t="shared" si="2"/>
        <v>26.59756358196196</v>
      </c>
    </row>
    <row r="6" spans="1:14" ht="27.6" customHeight="1" x14ac:dyDescent="0.25">
      <c r="B6" t="s">
        <v>39</v>
      </c>
      <c r="C6" s="2" t="s">
        <v>46</v>
      </c>
      <c r="D6" s="2" t="s">
        <v>47</v>
      </c>
      <c r="E6" s="11">
        <v>5.68</v>
      </c>
      <c r="F6" s="3"/>
      <c r="H6" s="4"/>
      <c r="I6" s="4" t="str">
        <f t="shared" si="1"/>
        <v>D</v>
      </c>
      <c r="J6" s="6">
        <v>4.46</v>
      </c>
      <c r="K6" s="6">
        <f>18.57/D11</f>
        <v>19.843983757213081</v>
      </c>
      <c r="L6" s="6">
        <f>5.68/E11</f>
        <v>5.0673565884557048</v>
      </c>
      <c r="M6" s="5"/>
      <c r="N6" s="7">
        <f t="shared" si="2"/>
        <v>29.371340345668788</v>
      </c>
    </row>
    <row r="7" spans="1:14" x14ac:dyDescent="0.25">
      <c r="H7" s="4"/>
      <c r="I7" s="4"/>
      <c r="J7" s="7">
        <f>SUM(J3:J6)</f>
        <v>20.36</v>
      </c>
      <c r="K7" s="7">
        <f t="shared" ref="K7:M7" si="3">SUM(K3:K6)</f>
        <v>46.441547339175045</v>
      </c>
      <c r="L7" s="7">
        <f t="shared" si="3"/>
        <v>29.226514408064947</v>
      </c>
      <c r="M7" s="7">
        <f t="shared" si="3"/>
        <v>28.50898032880357</v>
      </c>
      <c r="N7" s="4"/>
    </row>
    <row r="8" spans="1:14" x14ac:dyDescent="0.25">
      <c r="I8" s="8"/>
      <c r="J8" s="12" t="str">
        <f>J2</f>
        <v>A</v>
      </c>
      <c r="K8" s="12" t="str">
        <f t="shared" ref="K8:M8" si="4">K2</f>
        <v>B</v>
      </c>
      <c r="L8" s="12" t="str">
        <f t="shared" si="4"/>
        <v>C</v>
      </c>
      <c r="M8" s="12" t="str">
        <f t="shared" si="4"/>
        <v>D</v>
      </c>
      <c r="N8" s="8" t="s">
        <v>17</v>
      </c>
    </row>
    <row r="9" spans="1:14" x14ac:dyDescent="0.25">
      <c r="I9" s="8" t="s">
        <v>28</v>
      </c>
      <c r="J9" s="9">
        <f>N3</f>
        <v>36.449696005804554</v>
      </c>
      <c r="K9" s="9">
        <f>N4</f>
        <v>32.118442142608252</v>
      </c>
      <c r="L9" s="9">
        <f>N5</f>
        <v>26.59756358196196</v>
      </c>
      <c r="M9" s="9">
        <f>N6</f>
        <v>29.371340345668788</v>
      </c>
      <c r="N9" s="9">
        <f>SUM(J9:M9)</f>
        <v>124.53704207604355</v>
      </c>
    </row>
    <row r="10" spans="1:14" ht="17.25" x14ac:dyDescent="0.4">
      <c r="I10" s="8" t="s">
        <v>29</v>
      </c>
      <c r="J10" s="10">
        <f>-J7</f>
        <v>-20.36</v>
      </c>
      <c r="K10" s="10">
        <f>-K7</f>
        <v>-46.441547339175045</v>
      </c>
      <c r="L10" s="10">
        <f>-L7</f>
        <v>-29.226514408064947</v>
      </c>
      <c r="M10" s="10">
        <f>-M7</f>
        <v>-28.50898032880357</v>
      </c>
      <c r="N10" s="10">
        <f t="shared" ref="N10:N11" si="5">SUM(J10:M10)</f>
        <v>-124.53704207604356</v>
      </c>
    </row>
    <row r="11" spans="1:14" x14ac:dyDescent="0.25">
      <c r="D11">
        <f>(0.9347+0.9369)/2</f>
        <v>0.93579999999999997</v>
      </c>
      <c r="E11">
        <f>(1.1196+1.1222)/2</f>
        <v>1.1209</v>
      </c>
      <c r="F11">
        <f>(3.1378+3.176)/2</f>
        <v>3.1569000000000003</v>
      </c>
      <c r="I11" s="8" t="s">
        <v>30</v>
      </c>
      <c r="J11" s="9">
        <f>J9+J10</f>
        <v>16.089696005804555</v>
      </c>
      <c r="K11" s="9">
        <f t="shared" ref="K11:M11" si="6">K9+K10</f>
        <v>-14.323105196566793</v>
      </c>
      <c r="L11" s="9">
        <f t="shared" si="6"/>
        <v>-2.6289508261029866</v>
      </c>
      <c r="M11" s="9">
        <f t="shared" si="6"/>
        <v>0.86236001686521746</v>
      </c>
      <c r="N11" s="9">
        <f t="shared" si="5"/>
        <v>-7.1054273576010019E-15</v>
      </c>
    </row>
    <row r="14" spans="1:14" x14ac:dyDescent="0.25">
      <c r="A14" t="s">
        <v>33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5" x14ac:dyDescent="0.25"/>
  <cols>
    <col min="1" max="1" width="10.85546875" customWidth="1"/>
    <col min="10" max="10" width="9.140625" bestFit="1" customWidth="1"/>
  </cols>
  <sheetData>
    <row r="1" spans="1:10" x14ac:dyDescent="0.25">
      <c r="A1" t="s">
        <v>48</v>
      </c>
    </row>
    <row r="3" spans="1:10" x14ac:dyDescent="0.25">
      <c r="A3">
        <v>0</v>
      </c>
      <c r="B3" s="8"/>
      <c r="C3" s="8">
        <v>1</v>
      </c>
      <c r="D3" s="8"/>
      <c r="E3" s="8">
        <v>2</v>
      </c>
      <c r="F3" s="8"/>
      <c r="G3" s="8">
        <v>3</v>
      </c>
    </row>
    <row r="4" spans="1:10" x14ac:dyDescent="0.25">
      <c r="G4" t="s">
        <v>49</v>
      </c>
    </row>
    <row r="5" spans="1:10" x14ac:dyDescent="0.25">
      <c r="H5" s="14" t="s">
        <v>50</v>
      </c>
      <c r="I5" t="s">
        <v>51</v>
      </c>
    </row>
    <row r="6" spans="1:10" x14ac:dyDescent="0.25">
      <c r="A6" s="13" t="s">
        <v>52</v>
      </c>
      <c r="H6" t="s">
        <v>53</v>
      </c>
    </row>
    <row r="7" spans="1:10" x14ac:dyDescent="0.25">
      <c r="H7" t="s">
        <v>54</v>
      </c>
    </row>
    <row r="8" spans="1:10" x14ac:dyDescent="0.25">
      <c r="A8" t="s">
        <v>55</v>
      </c>
      <c r="J8" s="15"/>
    </row>
    <row r="9" spans="1:10" x14ac:dyDescent="0.25">
      <c r="A9" t="s">
        <v>56</v>
      </c>
      <c r="G9" t="s">
        <v>57</v>
      </c>
      <c r="J9" s="15">
        <f>10/1.02</f>
        <v>9.8039215686274517</v>
      </c>
    </row>
    <row r="10" spans="1:10" x14ac:dyDescent="0.25">
      <c r="A10" t="s">
        <v>58</v>
      </c>
      <c r="G10" t="s">
        <v>59</v>
      </c>
      <c r="J10" s="15">
        <f>J9*300</f>
        <v>2941.1764705882356</v>
      </c>
    </row>
    <row r="11" spans="1:10" x14ac:dyDescent="0.25">
      <c r="A11" t="s">
        <v>60</v>
      </c>
      <c r="G11" t="s">
        <v>61</v>
      </c>
      <c r="J11" s="15">
        <f>J10*0.03</f>
        <v>88.235294117647058</v>
      </c>
    </row>
    <row r="12" spans="1:10" x14ac:dyDescent="0.25">
      <c r="A12" t="s">
        <v>62</v>
      </c>
      <c r="J12" s="15"/>
    </row>
    <row r="13" spans="1:10" x14ac:dyDescent="0.25">
      <c r="G13" t="s">
        <v>63</v>
      </c>
      <c r="J13" s="15"/>
    </row>
    <row r="14" spans="1:10" x14ac:dyDescent="0.25">
      <c r="B14" t="s">
        <v>64</v>
      </c>
      <c r="J14" s="15">
        <f>J10+J11</f>
        <v>3029.4117647058824</v>
      </c>
    </row>
    <row r="15" spans="1:10" x14ac:dyDescent="0.25">
      <c r="B15" t="s">
        <v>65</v>
      </c>
      <c r="J15" s="15"/>
    </row>
    <row r="16" spans="1:10" x14ac:dyDescent="0.25">
      <c r="J16" s="1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zoomScaleNormal="100" workbookViewId="0"/>
  </sheetViews>
  <sheetFormatPr defaultRowHeight="15" x14ac:dyDescent="0.25"/>
  <cols>
    <col min="3" max="3" width="10.42578125" customWidth="1"/>
  </cols>
  <sheetData>
    <row r="2" spans="2:11" x14ac:dyDescent="0.25">
      <c r="B2" t="s">
        <v>66</v>
      </c>
      <c r="G2" t="s">
        <v>67</v>
      </c>
      <c r="K2">
        <f>2.4/1.00775</f>
        <v>2.3815430414289258</v>
      </c>
    </row>
    <row r="3" spans="2:11" x14ac:dyDescent="0.25">
      <c r="G3" t="s">
        <v>68</v>
      </c>
      <c r="K3">
        <f>K2/1.5938</f>
        <v>1.4942546376138321</v>
      </c>
    </row>
    <row r="4" spans="2:11" x14ac:dyDescent="0.25">
      <c r="B4" t="s">
        <v>69</v>
      </c>
      <c r="G4" t="s">
        <v>70</v>
      </c>
      <c r="K4">
        <f>K3*1%</f>
        <v>1.4942546376138321E-2</v>
      </c>
    </row>
    <row r="5" spans="2:11" ht="15.75" thickBot="1" x14ac:dyDescent="0.3">
      <c r="G5" s="4" t="s">
        <v>71</v>
      </c>
      <c r="H5" s="4"/>
      <c r="I5" s="4" t="s">
        <v>72</v>
      </c>
      <c r="J5" s="4"/>
      <c r="K5" s="18">
        <f>K3+K4</f>
        <v>1.5091971839899705</v>
      </c>
    </row>
    <row r="6" spans="2:11" ht="15.75" thickTop="1" x14ac:dyDescent="0.25">
      <c r="D6" t="s">
        <v>73</v>
      </c>
    </row>
    <row r="7" spans="2:11" x14ac:dyDescent="0.25">
      <c r="B7" t="s">
        <v>13</v>
      </c>
      <c r="C7" t="s">
        <v>29</v>
      </c>
      <c r="D7" s="15">
        <v>4.5</v>
      </c>
    </row>
    <row r="8" spans="2:11" x14ac:dyDescent="0.25">
      <c r="C8" t="s">
        <v>28</v>
      </c>
      <c r="D8" s="15">
        <v>-2.1</v>
      </c>
    </row>
    <row r="9" spans="2:11" ht="15.75" thickBot="1" x14ac:dyDescent="0.3">
      <c r="D9" s="16">
        <f>D7+D8</f>
        <v>2.4</v>
      </c>
    </row>
    <row r="10" spans="2:11" ht="15.75" thickTop="1" x14ac:dyDescent="0.25">
      <c r="B10" t="s">
        <v>74</v>
      </c>
      <c r="D10" s="15"/>
    </row>
    <row r="12" spans="2:11" x14ac:dyDescent="0.25">
      <c r="H12" t="s">
        <v>75</v>
      </c>
      <c r="K12" s="17">
        <f>3.1/4</f>
        <v>0.77500000000000002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/>
  </sheetViews>
  <sheetFormatPr defaultRowHeight="15" x14ac:dyDescent="0.25"/>
  <cols>
    <col min="13" max="13" width="15" bestFit="1" customWidth="1"/>
  </cols>
  <sheetData>
    <row r="1" spans="1:13" x14ac:dyDescent="0.25">
      <c r="A1" t="s">
        <v>76</v>
      </c>
    </row>
    <row r="2" spans="1:13" x14ac:dyDescent="0.25">
      <c r="B2">
        <v>0</v>
      </c>
      <c r="C2" s="4"/>
      <c r="D2" s="4">
        <v>1</v>
      </c>
      <c r="E2" s="4"/>
      <c r="F2" s="4">
        <v>2</v>
      </c>
      <c r="G2" s="4"/>
      <c r="H2" s="4">
        <v>3</v>
      </c>
    </row>
    <row r="3" spans="1:13" x14ac:dyDescent="0.25">
      <c r="I3" t="s">
        <v>77</v>
      </c>
    </row>
    <row r="4" spans="1:13" x14ac:dyDescent="0.25">
      <c r="I4" t="s">
        <v>50</v>
      </c>
    </row>
    <row r="5" spans="1:13" x14ac:dyDescent="0.25">
      <c r="B5" t="s">
        <v>78</v>
      </c>
      <c r="I5" t="s">
        <v>53</v>
      </c>
    </row>
    <row r="6" spans="1:13" x14ac:dyDescent="0.25">
      <c r="I6" s="14" t="s">
        <v>54</v>
      </c>
      <c r="J6" t="s">
        <v>79</v>
      </c>
    </row>
    <row r="8" spans="1:13" x14ac:dyDescent="0.25">
      <c r="A8">
        <v>1</v>
      </c>
      <c r="B8" t="s">
        <v>80</v>
      </c>
    </row>
    <row r="9" spans="1:13" x14ac:dyDescent="0.25">
      <c r="A9">
        <v>2</v>
      </c>
      <c r="B9" t="s">
        <v>81</v>
      </c>
      <c r="K9">
        <f>7%/4</f>
        <v>1.7500000000000002E-2</v>
      </c>
    </row>
    <row r="10" spans="1:13" x14ac:dyDescent="0.25">
      <c r="A10">
        <v>3</v>
      </c>
      <c r="B10" t="s">
        <v>82</v>
      </c>
    </row>
    <row r="12" spans="1:13" x14ac:dyDescent="0.25">
      <c r="J12" t="s">
        <v>83</v>
      </c>
      <c r="M12" s="19">
        <f>2500000/(1+K9)</f>
        <v>2457002.4570024568</v>
      </c>
    </row>
    <row r="13" spans="1:13" x14ac:dyDescent="0.25">
      <c r="J13" t="s">
        <v>84</v>
      </c>
      <c r="M13" s="19">
        <f>M12/2.251</f>
        <v>1091515.9737905185</v>
      </c>
    </row>
    <row r="14" spans="1:13" x14ac:dyDescent="0.25">
      <c r="J14" t="s">
        <v>85</v>
      </c>
      <c r="M14" s="19">
        <f>M13*2%</f>
        <v>21830.319475810371</v>
      </c>
    </row>
    <row r="15" spans="1:13" ht="15.75" thickBot="1" x14ac:dyDescent="0.3">
      <c r="J15" t="s">
        <v>86</v>
      </c>
      <c r="M15" s="20">
        <f>M13+M14</f>
        <v>1113346.2932663288</v>
      </c>
    </row>
    <row r="16" spans="1:13" ht="15.75" thickTop="1" x14ac:dyDescent="0.25">
      <c r="M16" s="19"/>
    </row>
    <row r="17" spans="13:13" x14ac:dyDescent="0.25">
      <c r="M17" s="19"/>
    </row>
    <row r="18" spans="13:13" x14ac:dyDescent="0.25">
      <c r="M18" s="19"/>
    </row>
    <row r="19" spans="13:13" x14ac:dyDescent="0.25">
      <c r="M19" s="19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Normal="100" workbookViewId="0"/>
  </sheetViews>
  <sheetFormatPr defaultRowHeight="15" x14ac:dyDescent="0.25"/>
  <sheetData>
    <row r="1" spans="1:11" x14ac:dyDescent="0.25">
      <c r="A1" s="21" t="s">
        <v>87</v>
      </c>
    </row>
    <row r="3" spans="1:11" x14ac:dyDescent="0.25">
      <c r="B3" s="22" t="s">
        <v>88</v>
      </c>
      <c r="C3" s="4"/>
      <c r="D3" s="4"/>
      <c r="E3" s="4"/>
      <c r="F3" s="22" t="s">
        <v>89</v>
      </c>
      <c r="G3" s="4"/>
      <c r="H3" s="4"/>
      <c r="I3" s="4"/>
      <c r="J3" s="22" t="s">
        <v>90</v>
      </c>
      <c r="K3" s="4"/>
    </row>
    <row r="4" spans="1:11" x14ac:dyDescent="0.25">
      <c r="B4" s="22" t="s">
        <v>91</v>
      </c>
      <c r="C4" s="4"/>
      <c r="D4" s="4" t="s">
        <v>92</v>
      </c>
      <c r="E4" s="4"/>
      <c r="F4" s="22" t="s">
        <v>93</v>
      </c>
      <c r="G4" s="4"/>
      <c r="H4" s="4"/>
      <c r="I4" s="4"/>
      <c r="J4" s="4"/>
      <c r="K4" s="4"/>
    </row>
    <row r="5" spans="1:11" x14ac:dyDescent="0.25"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B6" s="4"/>
      <c r="C6" s="4" t="s">
        <v>94</v>
      </c>
      <c r="D6" s="4" t="s">
        <v>95</v>
      </c>
      <c r="E6" s="4"/>
      <c r="F6" s="4"/>
      <c r="G6" s="4"/>
      <c r="H6" s="4"/>
      <c r="I6" s="4"/>
      <c r="J6" s="4"/>
      <c r="K6" s="4"/>
    </row>
    <row r="7" spans="1:11" x14ac:dyDescent="0.25">
      <c r="B7" s="4"/>
      <c r="C7" s="4"/>
      <c r="D7" s="23" t="s">
        <v>96</v>
      </c>
      <c r="E7" s="4"/>
      <c r="F7" s="4"/>
      <c r="G7" s="4"/>
      <c r="H7" s="4"/>
      <c r="I7" s="4"/>
      <c r="J7" s="4"/>
      <c r="K7" s="4"/>
    </row>
    <row r="8" spans="1:11" x14ac:dyDescent="0.25">
      <c r="A8" t="s">
        <v>97</v>
      </c>
      <c r="B8" t="s">
        <v>98</v>
      </c>
      <c r="F8">
        <v>125</v>
      </c>
    </row>
    <row r="9" spans="1:11" x14ac:dyDescent="0.25">
      <c r="D9">
        <f>125*0.95</f>
        <v>118.75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/>
  </sheetViews>
  <sheetFormatPr defaultRowHeight="15" x14ac:dyDescent="0.25"/>
  <cols>
    <col min="4" max="4" width="12.140625" customWidth="1"/>
  </cols>
  <sheetData>
    <row r="1" spans="1:7" x14ac:dyDescent="0.25">
      <c r="A1" s="21" t="s">
        <v>99</v>
      </c>
      <c r="B1" s="21"/>
      <c r="C1" s="21"/>
    </row>
    <row r="2" spans="1:7" x14ac:dyDescent="0.25">
      <c r="A2">
        <v>0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</row>
    <row r="3" spans="1:7" x14ac:dyDescent="0.25">
      <c r="G3">
        <f>A6</f>
        <v>1.3852813852813852</v>
      </c>
    </row>
    <row r="4" spans="1:7" x14ac:dyDescent="0.25">
      <c r="A4" t="s">
        <v>100</v>
      </c>
    </row>
    <row r="5" spans="1:7" x14ac:dyDescent="0.25">
      <c r="A5" t="s">
        <v>101</v>
      </c>
    </row>
    <row r="6" spans="1:7" x14ac:dyDescent="0.25">
      <c r="A6">
        <f>320/231</f>
        <v>1.3852813852813852</v>
      </c>
      <c r="B6" t="s">
        <v>102</v>
      </c>
    </row>
    <row r="9" spans="1:7" x14ac:dyDescent="0.25">
      <c r="A9" t="s">
        <v>103</v>
      </c>
      <c r="F9">
        <f>G3/(1+1.5%)</f>
        <v>1.3648092465826456</v>
      </c>
    </row>
    <row r="10" spans="1:7" x14ac:dyDescent="0.25">
      <c r="A10" t="s">
        <v>104</v>
      </c>
      <c r="F10">
        <f>F9*231</f>
        <v>315.27093596059115</v>
      </c>
    </row>
    <row r="11" spans="1:7" x14ac:dyDescent="0.25">
      <c r="A11" t="s">
        <v>105</v>
      </c>
      <c r="F11">
        <f>F10*3%</f>
        <v>9.4581280788177349</v>
      </c>
    </row>
    <row r="12" spans="1:7" ht="15.75" thickBot="1" x14ac:dyDescent="0.3">
      <c r="A12" s="18" t="s">
        <v>106</v>
      </c>
      <c r="B12" s="18"/>
      <c r="C12" s="18"/>
      <c r="D12" s="18"/>
      <c r="E12" s="18"/>
      <c r="F12" s="18">
        <f>F10+F11</f>
        <v>324.72906403940885</v>
      </c>
      <c r="G12" t="s">
        <v>107</v>
      </c>
    </row>
    <row r="13" spans="1:7" ht="15.75" thickTop="1" x14ac:dyDescent="0.25"/>
    <row r="14" spans="1:7" x14ac:dyDescent="0.25">
      <c r="A14" s="21" t="s">
        <v>108</v>
      </c>
    </row>
    <row r="15" spans="1:7" x14ac:dyDescent="0.25">
      <c r="A15" t="s">
        <v>109</v>
      </c>
      <c r="E15" t="s">
        <v>110</v>
      </c>
      <c r="F15">
        <v>320</v>
      </c>
    </row>
    <row r="16" spans="1:7" x14ac:dyDescent="0.25">
      <c r="A16" t="s">
        <v>111</v>
      </c>
      <c r="E16" t="s">
        <v>110</v>
      </c>
      <c r="F16">
        <f>F15*0.91</f>
        <v>291.2</v>
      </c>
      <c r="G16" t="s">
        <v>112</v>
      </c>
    </row>
    <row r="17" spans="1:8" x14ac:dyDescent="0.25">
      <c r="A17" t="s">
        <v>113</v>
      </c>
      <c r="E17" t="s">
        <v>110</v>
      </c>
      <c r="F17">
        <f>F16*(1+(6%/12)*5)</f>
        <v>298.47999999999996</v>
      </c>
    </row>
    <row r="19" spans="1:8" x14ac:dyDescent="0.25">
      <c r="A19" s="21" t="s">
        <v>114</v>
      </c>
    </row>
    <row r="20" spans="1:8" x14ac:dyDescent="0.25">
      <c r="A20" t="s">
        <v>115</v>
      </c>
    </row>
    <row r="22" spans="1:8" x14ac:dyDescent="0.25">
      <c r="C22" t="s">
        <v>116</v>
      </c>
      <c r="D22" t="s">
        <v>117</v>
      </c>
      <c r="E22" t="s">
        <v>118</v>
      </c>
    </row>
    <row r="23" spans="1:8" x14ac:dyDescent="0.25">
      <c r="C23" t="s">
        <v>119</v>
      </c>
      <c r="D23" t="s">
        <v>120</v>
      </c>
      <c r="E23" t="s">
        <v>121</v>
      </c>
      <c r="H23" s="23">
        <f>1.12*195</f>
        <v>218.40000000000003</v>
      </c>
    </row>
    <row r="25" spans="1:8" x14ac:dyDescent="0.25">
      <c r="C25" t="s">
        <v>101</v>
      </c>
      <c r="D25" t="s">
        <v>122</v>
      </c>
      <c r="E25">
        <f>320/231</f>
        <v>1.3852813852813852</v>
      </c>
    </row>
    <row r="26" spans="1:8" x14ac:dyDescent="0.25">
      <c r="C26" t="s">
        <v>123</v>
      </c>
      <c r="E26">
        <f>E25*H23</f>
        <v>302.54545454545456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D91AC024EF647973284C800D30014" ma:contentTypeVersion="7" ma:contentTypeDescription="Create a new document." ma:contentTypeScope="" ma:versionID="970393cb6b53b3dfdf150e5dfc2cfac1">
  <xsd:schema xmlns:xsd="http://www.w3.org/2001/XMLSchema" xmlns:xs="http://www.w3.org/2001/XMLSchema" xmlns:p="http://schemas.microsoft.com/office/2006/metadata/properties" xmlns:ns2="b7ad174b-ed6a-4dd6-8157-44fc4a505f10" targetNamespace="http://schemas.microsoft.com/office/2006/metadata/properties" ma:root="true" ma:fieldsID="51d5012c362384dfc7258b04016305e4" ns2:_="">
    <xsd:import namespace="b7ad174b-ed6a-4dd6-8157-44fc4a505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d174b-ed6a-4dd6-8157-44fc4a505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67C349-2F84-43E0-A0DF-D110650E43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6C4EE3-662E-49DF-BC2B-C110E5E089A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7ad174b-ed6a-4dd6-8157-44fc4a505f1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D69CC0-7D70-48DC-B7D5-B64F934737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d174b-ed6a-4dd6-8157-44fc4a505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Samira Anthony</dc:creator>
  <cp:keywords/>
  <dc:description/>
  <cp:lastModifiedBy>System Division</cp:lastModifiedBy>
  <cp:revision/>
  <dcterms:created xsi:type="dcterms:W3CDTF">2022-04-10T08:13:49Z</dcterms:created>
  <dcterms:modified xsi:type="dcterms:W3CDTF">2022-05-03T10:15:03Z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0x010100EB0D91AC024EF647973284C800D30014</vt:lpwstr>
  </property>
</Properties>
</file>