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\CL\AMA\Set 04\"/>
    </mc:Choice>
  </mc:AlternateContent>
  <bookViews>
    <workbookView xWindow="0" yWindow="0" windowWidth="10170" windowHeight="6390" tabRatio="898"/>
  </bookViews>
  <sheets>
    <sheet name="Sheet1" sheetId="1" r:id="rId1"/>
    <sheet name="E1" sheetId="2" r:id="rId2"/>
    <sheet name="E2" sheetId="3" r:id="rId3"/>
    <sheet name="E3" sheetId="4" r:id="rId4"/>
    <sheet name="E4" sheetId="34" r:id="rId5"/>
    <sheet name="E5" sheetId="35" r:id="rId6"/>
    <sheet name="E6" sheetId="37" r:id="rId7"/>
    <sheet name="E7" sheetId="38" r:id="rId8"/>
    <sheet name="E8" sheetId="39" r:id="rId9"/>
    <sheet name="E10" sheetId="40" r:id="rId10"/>
    <sheet name="E11" sheetId="41" r:id="rId11"/>
    <sheet name="E12" sheetId="42" r:id="rId12"/>
    <sheet name="E13" sheetId="43" r:id="rId13"/>
    <sheet name="E14" sheetId="45" r:id="rId14"/>
    <sheet name="Sheet8" sheetId="46" r:id="rId15"/>
    <sheet name="Sheet6" sheetId="44" r:id="rId16"/>
    <sheet name="Q5" sheetId="36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45" l="1"/>
  <c r="J20" i="45"/>
  <c r="H24" i="45"/>
  <c r="C35" i="45"/>
  <c r="C34" i="45"/>
  <c r="C36" i="45" s="1"/>
  <c r="C38" i="45" s="1"/>
  <c r="D29" i="45"/>
  <c r="D30" i="45" s="1"/>
  <c r="B30" i="45" s="1"/>
  <c r="E21" i="45"/>
  <c r="E22" i="45" s="1"/>
  <c r="E24" i="45" s="1"/>
  <c r="C21" i="45"/>
  <c r="C22" i="45" s="1"/>
  <c r="C24" i="45" s="1"/>
  <c r="C9" i="45"/>
  <c r="E9" i="45" s="1"/>
  <c r="C8" i="45"/>
  <c r="E8" i="45" s="1"/>
  <c r="E10" i="45" s="1"/>
  <c r="E12" i="45" s="1"/>
  <c r="B28" i="42"/>
  <c r="E20" i="42"/>
  <c r="E19" i="42"/>
  <c r="E18" i="42"/>
  <c r="D20" i="42"/>
  <c r="F20" i="42" s="1"/>
  <c r="C27" i="42" s="1"/>
  <c r="D27" i="42" s="1"/>
  <c r="D19" i="42"/>
  <c r="F19" i="42" s="1"/>
  <c r="C26" i="42" s="1"/>
  <c r="D26" i="42" s="1"/>
  <c r="D18" i="42"/>
  <c r="F18" i="42" s="1"/>
  <c r="C12" i="42"/>
  <c r="C7" i="42" s="1"/>
  <c r="J16" i="42"/>
  <c r="K16" i="42"/>
  <c r="I16" i="42"/>
  <c r="L16" i="42" s="1"/>
  <c r="J13" i="42"/>
  <c r="J15" i="42" s="1"/>
  <c r="K13" i="42"/>
  <c r="K15" i="42" s="1"/>
  <c r="I13" i="42"/>
  <c r="I15" i="42" s="1"/>
  <c r="L15" i="42" s="1"/>
  <c r="E79" i="41"/>
  <c r="E80" i="41"/>
  <c r="E78" i="41"/>
  <c r="D79" i="41"/>
  <c r="F79" i="41" s="1"/>
  <c r="B80" i="41"/>
  <c r="D80" i="41" s="1"/>
  <c r="F80" i="41" s="1"/>
  <c r="B79" i="41"/>
  <c r="B78" i="41"/>
  <c r="D78" i="41" s="1"/>
  <c r="F78" i="41" s="1"/>
  <c r="F81" i="41" s="1"/>
  <c r="D67" i="41"/>
  <c r="F67" i="41" s="1"/>
  <c r="C74" i="41" s="1"/>
  <c r="D74" i="41" s="1"/>
  <c r="D66" i="41"/>
  <c r="F66" i="41" s="1"/>
  <c r="C73" i="41" s="1"/>
  <c r="D73" i="41" s="1"/>
  <c r="D65" i="41"/>
  <c r="C61" i="41"/>
  <c r="C41" i="41"/>
  <c r="C32" i="40"/>
  <c r="C37" i="40"/>
  <c r="D16" i="41"/>
  <c r="D17" i="41" s="1"/>
  <c r="D18" i="41" s="1"/>
  <c r="E15" i="41"/>
  <c r="D5" i="41"/>
  <c r="D8" i="41" s="1"/>
  <c r="C5" i="41"/>
  <c r="B5" i="41"/>
  <c r="E5" i="41" s="1"/>
  <c r="C52" i="41" s="1"/>
  <c r="E7" i="40"/>
  <c r="D17" i="40"/>
  <c r="D18" i="40" s="1"/>
  <c r="D19" i="40" s="1"/>
  <c r="B17" i="40"/>
  <c r="B18" i="40" s="1"/>
  <c r="B19" i="40" s="1"/>
  <c r="E16" i="40"/>
  <c r="C9" i="40"/>
  <c r="C10" i="40" s="1"/>
  <c r="D9" i="40"/>
  <c r="D10" i="40" s="1"/>
  <c r="B9" i="40"/>
  <c r="B10" i="40" s="1"/>
  <c r="B28" i="39"/>
  <c r="B29" i="39" s="1"/>
  <c r="B31" i="39" s="1"/>
  <c r="B25" i="39"/>
  <c r="B19" i="39"/>
  <c r="H19" i="39"/>
  <c r="H20" i="39" s="1"/>
  <c r="H21" i="39" s="1"/>
  <c r="D20" i="39"/>
  <c r="F6" i="39"/>
  <c r="F5" i="39"/>
  <c r="F7" i="39" s="1"/>
  <c r="E6" i="39"/>
  <c r="E5" i="39"/>
  <c r="E7" i="39" s="1"/>
  <c r="D8" i="39"/>
  <c r="E8" i="39" s="1"/>
  <c r="F8" i="39" s="1"/>
  <c r="D6" i="39"/>
  <c r="D5" i="39"/>
  <c r="D7" i="39" s="1"/>
  <c r="C6" i="39"/>
  <c r="C5" i="39"/>
  <c r="C7" i="39" s="1"/>
  <c r="C33" i="38"/>
  <c r="C35" i="38" s="1"/>
  <c r="C27" i="38"/>
  <c r="C18" i="38"/>
  <c r="C20" i="38" s="1"/>
  <c r="E10" i="38"/>
  <c r="E9" i="38"/>
  <c r="F11" i="38" s="1"/>
  <c r="C11" i="38"/>
  <c r="C12" i="38" s="1"/>
  <c r="C13" i="38" s="1"/>
  <c r="D35" i="37"/>
  <c r="D31" i="37"/>
  <c r="D25" i="37"/>
  <c r="D27" i="37" s="1"/>
  <c r="D22" i="37"/>
  <c r="D18" i="37"/>
  <c r="D14" i="37"/>
  <c r="D10" i="37"/>
  <c r="D6" i="37"/>
  <c r="E9" i="35"/>
  <c r="E8" i="35"/>
  <c r="E7" i="35"/>
  <c r="F9" i="35" s="1"/>
  <c r="C9" i="35"/>
  <c r="C10" i="35" s="1"/>
  <c r="C11" i="35" s="1"/>
  <c r="F11" i="35" s="1"/>
  <c r="H9" i="35" s="1"/>
  <c r="C22" i="36"/>
  <c r="C18" i="36"/>
  <c r="C16" i="36"/>
  <c r="C9" i="36"/>
  <c r="C7" i="36"/>
  <c r="C19" i="36" s="1"/>
  <c r="F5" i="35" l="1"/>
  <c r="F10" i="35" s="1"/>
  <c r="F12" i="35" s="1"/>
  <c r="F13" i="38"/>
  <c r="H13" i="38"/>
  <c r="H11" i="38" s="1"/>
  <c r="F7" i="38"/>
  <c r="F12" i="38" s="1"/>
  <c r="C10" i="39"/>
  <c r="C9" i="39"/>
  <c r="D10" i="39"/>
  <c r="D9" i="39"/>
  <c r="E10" i="39"/>
  <c r="E9" i="39"/>
  <c r="F10" i="39"/>
  <c r="F9" i="39"/>
  <c r="C8" i="41"/>
  <c r="C9" i="41"/>
  <c r="D68" i="41"/>
  <c r="F65" i="41"/>
  <c r="C72" i="41" s="1"/>
  <c r="D72" i="41" s="1"/>
  <c r="F21" i="42"/>
  <c r="C25" i="42"/>
  <c r="D25" i="42" s="1"/>
  <c r="D28" i="42" s="1"/>
  <c r="D75" i="41"/>
  <c r="F68" i="41"/>
  <c r="B9" i="41"/>
  <c r="D9" i="41"/>
  <c r="D10" i="41" s="1"/>
  <c r="D11" i="41" s="1"/>
  <c r="B8" i="41"/>
  <c r="C18" i="40"/>
  <c r="C17" i="40"/>
  <c r="E17" i="40" s="1"/>
  <c r="F14" i="38"/>
  <c r="C22" i="34"/>
  <c r="D23" i="34" s="1"/>
  <c r="D24" i="34" s="1"/>
  <c r="C10" i="41" l="1"/>
  <c r="C11" i="41" s="1"/>
  <c r="E8" i="41"/>
  <c r="C53" i="41" s="1"/>
  <c r="C55" i="41" s="1"/>
  <c r="D61" i="41" s="1"/>
  <c r="B16" i="41"/>
  <c r="B17" i="41" s="1"/>
  <c r="B18" i="41" s="1"/>
  <c r="C29" i="41" s="1"/>
  <c r="C30" i="41" s="1"/>
  <c r="C31" i="41" s="1"/>
  <c r="B10" i="41"/>
  <c r="C19" i="40"/>
  <c r="E19" i="40" s="1"/>
  <c r="E18" i="40"/>
  <c r="D21" i="4"/>
  <c r="C22" i="4"/>
  <c r="C20" i="4"/>
  <c r="C19" i="4"/>
  <c r="D20" i="4" s="1"/>
  <c r="C18" i="4"/>
  <c r="C17" i="4"/>
  <c r="D16" i="4"/>
  <c r="C8" i="3"/>
  <c r="C6" i="3"/>
  <c r="C10" i="2"/>
  <c r="C13" i="2" s="1"/>
  <c r="C5" i="2"/>
  <c r="C6" i="2" s="1"/>
  <c r="C9" i="3" l="1"/>
  <c r="D18" i="4"/>
  <c r="D60" i="41"/>
  <c r="D58" i="41"/>
  <c r="D59" i="41"/>
  <c r="B11" i="41"/>
  <c r="C16" i="41"/>
  <c r="D23" i="4"/>
  <c r="C17" i="41" l="1"/>
  <c r="E16" i="41"/>
  <c r="C18" i="41" l="1"/>
  <c r="E17" i="41"/>
  <c r="E18" i="41" l="1"/>
  <c r="B20" i="41"/>
</calcChain>
</file>

<file path=xl/sharedStrings.xml><?xml version="1.0" encoding="utf-8"?>
<sst xmlns="http://schemas.openxmlformats.org/spreadsheetml/2006/main" count="543" uniqueCount="360">
  <si>
    <t>Stage 1</t>
  </si>
  <si>
    <t>Stage 2</t>
  </si>
  <si>
    <t>Stage 3</t>
  </si>
  <si>
    <t>Stage 4</t>
  </si>
  <si>
    <t>Stage 5</t>
  </si>
  <si>
    <t>Stage 6</t>
  </si>
  <si>
    <t>Stage 7</t>
  </si>
  <si>
    <t>Cost of product</t>
  </si>
  <si>
    <t>Fixed</t>
  </si>
  <si>
    <t>Relevant Cost of product</t>
  </si>
  <si>
    <t>Vary</t>
  </si>
  <si>
    <t>Relevant cost</t>
  </si>
  <si>
    <t>=</t>
  </si>
  <si>
    <t>Future + Incremental + Cash outflow</t>
  </si>
  <si>
    <t>Releveant cost is the additional cost to be incured in future as a result of specific management decision.</t>
  </si>
  <si>
    <t>Incremental cost + Opportunity cost</t>
  </si>
  <si>
    <t>Variable cost + Addi. Fixed Cost + Opportunity cost</t>
  </si>
  <si>
    <t>Material + Labour + Other direct cost + Addi. Fixed Cost + Opportunity cost</t>
  </si>
  <si>
    <t>Avoidable cost</t>
  </si>
  <si>
    <t>Differential cost</t>
  </si>
  <si>
    <t>Not relevant cost</t>
  </si>
  <si>
    <t>Sunk cost - already incured and paid, can not be recovered</t>
  </si>
  <si>
    <t>Committed cost  - Already incurred, not paid but can not be avoided.</t>
  </si>
  <si>
    <t>Notional cost - Cost just for the name sake</t>
  </si>
  <si>
    <t>Abosrption of exisiting fixed overhead cost</t>
  </si>
  <si>
    <t>Allocation of head office cost</t>
  </si>
  <si>
    <t>Book values</t>
  </si>
  <si>
    <t>Limiting factor analysis</t>
  </si>
  <si>
    <t>Scenario 1</t>
  </si>
  <si>
    <t>Multiple products, single limiting factor</t>
  </si>
  <si>
    <t>Mathematical approch</t>
  </si>
  <si>
    <t>Scenario 2</t>
  </si>
  <si>
    <t>2 prodcusts, multiple limiting facors</t>
  </si>
  <si>
    <t>LP - Graphical approach</t>
  </si>
  <si>
    <t>Use simplex method too</t>
  </si>
  <si>
    <t>Scenario 3</t>
  </si>
  <si>
    <t>Multiple products, Multiple limiting factor</t>
  </si>
  <si>
    <t>LP - Simplex approach</t>
  </si>
  <si>
    <t>Linear</t>
  </si>
  <si>
    <t>Lines</t>
  </si>
  <si>
    <t>Line with a constant angle</t>
  </si>
  <si>
    <t>Programing</t>
  </si>
  <si>
    <t>Develop</t>
  </si>
  <si>
    <t>Example 1</t>
  </si>
  <si>
    <t xml:space="preserve">Annual Capacity </t>
  </si>
  <si>
    <t>Capacity utilised</t>
  </si>
  <si>
    <t>200,000*85%</t>
  </si>
  <si>
    <t>Idle capacity</t>
  </si>
  <si>
    <t xml:space="preserve">New order </t>
  </si>
  <si>
    <t>New order can be accormodated</t>
  </si>
  <si>
    <t>Variable cost</t>
  </si>
  <si>
    <t>15,000*Rs.25/-</t>
  </si>
  <si>
    <t>Additional Fixed cost</t>
  </si>
  <si>
    <t>Exisitng fixed cost Rs250,000/- is a sunk or committed cost</t>
  </si>
  <si>
    <t>Opportunity cost</t>
  </si>
  <si>
    <t>Relevant cost / incremental cost</t>
  </si>
  <si>
    <t>Exercise 2</t>
  </si>
  <si>
    <t>Relevant cost, if 1,500 units of A is accepted</t>
  </si>
  <si>
    <t>1,500 * Rs.15</t>
  </si>
  <si>
    <t>Addi. Fixed Cost</t>
  </si>
  <si>
    <t>1,500*3units of B * Rs.8</t>
  </si>
  <si>
    <t>2 alternatives</t>
  </si>
  <si>
    <t>Continue with product B</t>
  </si>
  <si>
    <t>Foregone</t>
  </si>
  <si>
    <t>Accept new order for 1,500 of A</t>
  </si>
  <si>
    <t>Choosen</t>
  </si>
  <si>
    <t>Relevant Material Cost</t>
  </si>
  <si>
    <t>Not in stock</t>
  </si>
  <si>
    <t>In stock</t>
  </si>
  <si>
    <t>Purchase</t>
  </si>
  <si>
    <t>Regular use</t>
  </si>
  <si>
    <t>Not regular use (bought for special task)</t>
  </si>
  <si>
    <t>Purchasing cost</t>
  </si>
  <si>
    <t>Purchase the material for usual production</t>
  </si>
  <si>
    <t>Alternatives</t>
  </si>
  <si>
    <t>Disposal value</t>
  </si>
  <si>
    <t>Subsitute</t>
  </si>
  <si>
    <t>Use for the new order</t>
  </si>
  <si>
    <t>Replacement cost / purchasing cost</t>
  </si>
  <si>
    <t>Exercise 03</t>
  </si>
  <si>
    <t>Relevant material cost</t>
  </si>
  <si>
    <t>P</t>
  </si>
  <si>
    <t>1,000*24</t>
  </si>
  <si>
    <t>Purchase cost</t>
  </si>
  <si>
    <t>Q</t>
  </si>
  <si>
    <t>400*20</t>
  </si>
  <si>
    <t>600*20</t>
  </si>
  <si>
    <t>Replacement cost</t>
  </si>
  <si>
    <t>R</t>
  </si>
  <si>
    <t>300*16</t>
  </si>
  <si>
    <t>700*10</t>
  </si>
  <si>
    <t>S</t>
  </si>
  <si>
    <t>300*20</t>
  </si>
  <si>
    <t>Alternative 2 - Opportunity cost</t>
  </si>
  <si>
    <t>200*24</t>
  </si>
  <si>
    <t>Alternative 3</t>
  </si>
  <si>
    <t>Exercise 04</t>
  </si>
  <si>
    <t>Relevant cost of labour</t>
  </si>
  <si>
    <t>Idle - paid, no work</t>
  </si>
  <si>
    <t>Idle labour available</t>
  </si>
  <si>
    <t>Idle labour not available</t>
  </si>
  <si>
    <t>Find additional labour</t>
  </si>
  <si>
    <t>Divert from exisitng job</t>
  </si>
  <si>
    <t>No payment</t>
  </si>
  <si>
    <t>Relevant cost = Zero</t>
  </si>
  <si>
    <t>Work OT</t>
  </si>
  <si>
    <t>Hire from outside</t>
  </si>
  <si>
    <t>Additonal OT</t>
  </si>
  <si>
    <t>Rate payment</t>
  </si>
  <si>
    <t>Sales</t>
  </si>
  <si>
    <t>(-) Relevant cost</t>
  </si>
  <si>
    <t>Material</t>
  </si>
  <si>
    <t>Labour</t>
  </si>
  <si>
    <t>Labour payment</t>
  </si>
  <si>
    <t>2,000*10</t>
  </si>
  <si>
    <t>This based on the assumtion</t>
  </si>
  <si>
    <t>if the labour is permanent with guaranteed wage - Not relevant</t>
  </si>
  <si>
    <t>2,000*12</t>
  </si>
  <si>
    <t>Labours are being paid at piece rate - then it is relevant</t>
  </si>
  <si>
    <t>Variable OH</t>
  </si>
  <si>
    <t>2,000*5</t>
  </si>
  <si>
    <t>Fixed OH</t>
  </si>
  <si>
    <t>2,000*8</t>
  </si>
  <si>
    <t>Incremental profit</t>
  </si>
  <si>
    <t>Advice - It is recommanded to accept the contract as it generates incremental profit</t>
  </si>
  <si>
    <t>Exercise 05</t>
  </si>
  <si>
    <t>(a)</t>
  </si>
  <si>
    <t>(b)</t>
  </si>
  <si>
    <t>Exiting</t>
  </si>
  <si>
    <t>Next year</t>
  </si>
  <si>
    <t>Meaning</t>
  </si>
  <si>
    <t>Selling price</t>
  </si>
  <si>
    <t>(-) Variable cost</t>
  </si>
  <si>
    <t>40*1.1</t>
  </si>
  <si>
    <t>32*1.25</t>
  </si>
  <si>
    <t>10/32*40</t>
  </si>
  <si>
    <t xml:space="preserve">Contribution </t>
  </si>
  <si>
    <t>C/S Ratio</t>
  </si>
  <si>
    <t>68/150*100</t>
  </si>
  <si>
    <t>Exercise 06</t>
  </si>
  <si>
    <t>a)</t>
  </si>
  <si>
    <t>PV Ratio</t>
  </si>
  <si>
    <t>Contribution / Sales *100</t>
  </si>
  <si>
    <t>40/100*100</t>
  </si>
  <si>
    <t>b)</t>
  </si>
  <si>
    <t>BEP Units</t>
  </si>
  <si>
    <t>Fixed cost / Contribution per unit</t>
  </si>
  <si>
    <t>600,000/40</t>
  </si>
  <si>
    <t>c)</t>
  </si>
  <si>
    <t>BEP Values</t>
  </si>
  <si>
    <t>Fixed cost / CS Ratio</t>
  </si>
  <si>
    <t>Or</t>
  </si>
  <si>
    <t>BEP Units * SP</t>
  </si>
  <si>
    <t>600,000/0.4</t>
  </si>
  <si>
    <t>15,000*100</t>
  </si>
  <si>
    <t>d)</t>
  </si>
  <si>
    <t>Units to traget profit</t>
  </si>
  <si>
    <t>(Target Profit + Fixed cost) / Contribution per unit</t>
  </si>
  <si>
    <t>(200,000+600,000)/40</t>
  </si>
  <si>
    <t>Sales to traget profit</t>
  </si>
  <si>
    <t>(Target Profit + Fixed cost) / CS Ratio</t>
  </si>
  <si>
    <t>(200,000+600,000)/0.40</t>
  </si>
  <si>
    <t>e)</t>
  </si>
  <si>
    <t>Calculation present profit</t>
  </si>
  <si>
    <t>Total contribution</t>
  </si>
  <si>
    <t>30,000*40</t>
  </si>
  <si>
    <t>(-) Fixed cost</t>
  </si>
  <si>
    <t>Present profit</t>
  </si>
  <si>
    <t>(600,000+700,000)/25 (100-75)</t>
  </si>
  <si>
    <t>(600,000+700,000)/0.25</t>
  </si>
  <si>
    <t>Exercise 07</t>
  </si>
  <si>
    <t>Increse in selling price =1,777.50-1500.00</t>
  </si>
  <si>
    <t>Rs.277.50</t>
  </si>
  <si>
    <t>500*1.25</t>
  </si>
  <si>
    <t>300*1.2</t>
  </si>
  <si>
    <t>500/1,500*100</t>
  </si>
  <si>
    <t>Calculation of existing profit</t>
  </si>
  <si>
    <t>2,000*500</t>
  </si>
  <si>
    <t>Exisitng profit</t>
  </si>
  <si>
    <t>Revised fixed cost</t>
  </si>
  <si>
    <t>600,000+102,500</t>
  </si>
  <si>
    <t>(400,000+702,500)/(1,500-1,185)</t>
  </si>
  <si>
    <t>1,102,500/315</t>
  </si>
  <si>
    <t>Extra sales volume</t>
  </si>
  <si>
    <t>3,500-2,000</t>
  </si>
  <si>
    <t>units</t>
  </si>
  <si>
    <t>592.5*2,000</t>
  </si>
  <si>
    <t>Profit</t>
  </si>
  <si>
    <t>Exercise 08</t>
  </si>
  <si>
    <t>Sales Qty</t>
  </si>
  <si>
    <t>Sales @ Rs.100</t>
  </si>
  <si>
    <t>Variable cost @ Rs.60</t>
  </si>
  <si>
    <t>Contribution</t>
  </si>
  <si>
    <t>Contribution / Sales</t>
  </si>
  <si>
    <t>Increase in profit / Increase in sales</t>
  </si>
  <si>
    <t>40/100 =40%</t>
  </si>
  <si>
    <t>80/200=40%</t>
  </si>
  <si>
    <t>4,000/10,000=40%</t>
  </si>
  <si>
    <t>3,920/9,800=40%</t>
  </si>
  <si>
    <t>Once BEP is achived, additonal contribution will be the profit</t>
  </si>
  <si>
    <t>a) BEP in Sales Value =</t>
  </si>
  <si>
    <t>W1 - CS Ratio</t>
  </si>
  <si>
    <t>W2 - Fixed cost</t>
  </si>
  <si>
    <t>500,000/0.2</t>
  </si>
  <si>
    <t>Increse in profit/increase in sales</t>
  </si>
  <si>
    <t>500,000/2,500,000</t>
  </si>
  <si>
    <t>VC % 80%</t>
  </si>
  <si>
    <t>Fixed cost</t>
  </si>
  <si>
    <t>b) Sales Value to target profit</t>
  </si>
  <si>
    <t>(Target Profit + Fixed Cost)/CS Ratio</t>
  </si>
  <si>
    <t>(1,500,000+500,000)/0.2</t>
  </si>
  <si>
    <t>c) Sales</t>
  </si>
  <si>
    <t>(-) Fixec cost</t>
  </si>
  <si>
    <t>Exercise 10</t>
  </si>
  <si>
    <t>Step 1 - Calculate PV Ratio</t>
  </si>
  <si>
    <t>Profit / Loss</t>
  </si>
  <si>
    <t>Product</t>
  </si>
  <si>
    <t>A</t>
  </si>
  <si>
    <t>B</t>
  </si>
  <si>
    <t>C</t>
  </si>
  <si>
    <t>Step 4 -</t>
  </si>
  <si>
    <t>Profit path</t>
  </si>
  <si>
    <t>Step 2 - Ranking</t>
  </si>
  <si>
    <t>Step 3 - Develop a profit table</t>
  </si>
  <si>
    <t>BEP</t>
  </si>
  <si>
    <t>Product mix</t>
  </si>
  <si>
    <t>Cum. Sales</t>
  </si>
  <si>
    <t>Cum. Contri.</t>
  </si>
  <si>
    <t>Cum. Profit</t>
  </si>
  <si>
    <t>MOS</t>
  </si>
  <si>
    <t>B,C</t>
  </si>
  <si>
    <t>Step 5 - Profit line</t>
  </si>
  <si>
    <t>B,C,A</t>
  </si>
  <si>
    <t>Mathematical approach</t>
  </si>
  <si>
    <t>Fixed cost / Cum. CS Ratio</t>
  </si>
  <si>
    <t>100,000/30%</t>
  </si>
  <si>
    <t>Cum. CS Ratio</t>
  </si>
  <si>
    <t>Cum. Contri. / Cum. Sales</t>
  </si>
  <si>
    <t>150,000/500,000</t>
  </si>
  <si>
    <t>Exercise 11</t>
  </si>
  <si>
    <t>SP</t>
  </si>
  <si>
    <t>VC</t>
  </si>
  <si>
    <t>Sales value</t>
  </si>
  <si>
    <t>Ranking</t>
  </si>
  <si>
    <t>Pro. Mix</t>
  </si>
  <si>
    <t>Cum Sales</t>
  </si>
  <si>
    <t>Cum Contri.</t>
  </si>
  <si>
    <t>Cum Profit</t>
  </si>
  <si>
    <t>A,B</t>
  </si>
  <si>
    <t>Profit line</t>
  </si>
  <si>
    <t>A,B,C</t>
  </si>
  <si>
    <t>Cum. PV Ratio</t>
  </si>
  <si>
    <t>1,710,000/6,840,000*100</t>
  </si>
  <si>
    <t>B)</t>
  </si>
  <si>
    <t>Increase in sales</t>
  </si>
  <si>
    <t>6,840,000*20%</t>
  </si>
  <si>
    <t>Increase in contribution</t>
  </si>
  <si>
    <t>1,368,000*25%</t>
  </si>
  <si>
    <t>Maximum  addi. Advertising cost</t>
  </si>
  <si>
    <t>Mathematical Approach</t>
  </si>
  <si>
    <t>1,500,000/25%</t>
  </si>
  <si>
    <t>1,710,000/6,840,000</t>
  </si>
  <si>
    <t>BEP in Units</t>
  </si>
  <si>
    <t>Act. Sales Qty</t>
  </si>
  <si>
    <t>* BEP Sales value</t>
  </si>
  <si>
    <t>Act. Sales value</t>
  </si>
  <si>
    <t>*6,000,000</t>
  </si>
  <si>
    <t>Units</t>
  </si>
  <si>
    <t>Sale ratio</t>
  </si>
  <si>
    <t>Alternative method</t>
  </si>
  <si>
    <t>BEP Sales</t>
  </si>
  <si>
    <t>Cum. Sales Ratio</t>
  </si>
  <si>
    <t>BEP Qty</t>
  </si>
  <si>
    <t>600/6,840</t>
  </si>
  <si>
    <t>6,000,000/6*1</t>
  </si>
  <si>
    <t>1,920/6,840</t>
  </si>
  <si>
    <t>6,000,000/6*2</t>
  </si>
  <si>
    <t>4,320/6,840</t>
  </si>
  <si>
    <t>6,000,000/6*3</t>
  </si>
  <si>
    <t>Calculate the MOS</t>
  </si>
  <si>
    <t>MOS Qty</t>
  </si>
  <si>
    <t>MOS Sales</t>
  </si>
  <si>
    <t>MOS Sales Value</t>
  </si>
  <si>
    <t>Unit SP</t>
  </si>
  <si>
    <t>Exercise 12</t>
  </si>
  <si>
    <t>Fixed cost / Cum. PV Ratio</t>
  </si>
  <si>
    <t>5,400,000/27.78%</t>
  </si>
  <si>
    <t>Cum. Contri / Cum Sales</t>
  </si>
  <si>
    <t>75/270</t>
  </si>
  <si>
    <t>Contri.</t>
  </si>
  <si>
    <t>Sales Ratio</t>
  </si>
  <si>
    <t>Cum. Contri</t>
  </si>
  <si>
    <t>Cum. BEP Sales</t>
  </si>
  <si>
    <t>50/270</t>
  </si>
  <si>
    <t>170/270</t>
  </si>
  <si>
    <t>b) Calculate MOS</t>
  </si>
  <si>
    <t>Act. Sales</t>
  </si>
  <si>
    <t>BEP Sales Qty</t>
  </si>
  <si>
    <t>Exercise 13 - HW</t>
  </si>
  <si>
    <t>Exercisee 14 - Single Limiting Factor Analysis</t>
  </si>
  <si>
    <t>S1 - Identify limiting factor</t>
  </si>
  <si>
    <t>Demand</t>
  </si>
  <si>
    <t>L. Hrs per unit</t>
  </si>
  <si>
    <t>Total Hrs</t>
  </si>
  <si>
    <t>X</t>
  </si>
  <si>
    <t>10/5</t>
  </si>
  <si>
    <t>Y</t>
  </si>
  <si>
    <t>15/5</t>
  </si>
  <si>
    <t>Total L. Hrs requirement</t>
  </si>
  <si>
    <t>Labour hours availability</t>
  </si>
  <si>
    <t>Shortage</t>
  </si>
  <si>
    <t>S2 - Calculate the unit contribution</t>
  </si>
  <si>
    <t>VOH</t>
  </si>
  <si>
    <t>Maximum means no loss not profit</t>
  </si>
  <si>
    <t>S3 - Labour hrs per unit</t>
  </si>
  <si>
    <t>S4 - Contribution per labour hours</t>
  </si>
  <si>
    <t>S-5 Ranking</t>
  </si>
  <si>
    <t>S6 - Optimum production plan</t>
  </si>
  <si>
    <t>Plan</t>
  </si>
  <si>
    <t>L. Hrs</t>
  </si>
  <si>
    <t>Contribution of X</t>
  </si>
  <si>
    <t>3,000*30</t>
  </si>
  <si>
    <t xml:space="preserve">                           of Y</t>
  </si>
  <si>
    <t>4,000*30</t>
  </si>
  <si>
    <t>Aggregate contribution</t>
  </si>
  <si>
    <t>Why do we need additonal labour</t>
  </si>
  <si>
    <t>To produce product Y</t>
  </si>
  <si>
    <t>Contribution per labour hous</t>
  </si>
  <si>
    <t>Present rate</t>
  </si>
  <si>
    <t>Maximum rate</t>
  </si>
  <si>
    <t>Question 05</t>
  </si>
  <si>
    <t>Minimum price</t>
  </si>
  <si>
    <t>= Relevant cost of the job</t>
  </si>
  <si>
    <t>Relevant cost of fitness bands</t>
  </si>
  <si>
    <t>Rs.</t>
  </si>
  <si>
    <t>Material - Latex</t>
  </si>
  <si>
    <t>Rs.410*60,000</t>
  </si>
  <si>
    <t>* Current price Rs.410 is relevanr because latex should be replenished for regular use</t>
  </si>
  <si>
    <t>* Exisitng cost of Rs.400/Kg is not relevanr because it is sunk cost</t>
  </si>
  <si>
    <t>Material - Chemical</t>
  </si>
  <si>
    <t>Rs.1,450 *10,000</t>
  </si>
  <si>
    <t>* Current price Rs.,1450 is relevanr because chemical should be replenished for regular use</t>
  </si>
  <si>
    <t>*  Original cost Rs.1,500/Kg is not relevant because it is sunk cost</t>
  </si>
  <si>
    <t>* Resale value Rs.1,350/- is not relevanr because checmical is regular use item without an intension to sell</t>
  </si>
  <si>
    <t>Material - Pigment</t>
  </si>
  <si>
    <t>* Book value Rs.10,000/Kg is not relevant because it is sunk cost</t>
  </si>
  <si>
    <t>* Curent purchase price Rs.7,000/kg is not relevanr because, there is not requirement to purchase for this job</t>
  </si>
  <si>
    <t>Direct labour</t>
  </si>
  <si>
    <t>* Incremental cost therefore it is relevant</t>
  </si>
  <si>
    <t>Variable overhead</t>
  </si>
  <si>
    <t>Fixed overhead</t>
  </si>
  <si>
    <t>6,400,000*40%</t>
  </si>
  <si>
    <t>* 60% of fixed overhead is abosorbed exiting overhead which is not relevant</t>
  </si>
  <si>
    <t>50,000*500</t>
  </si>
  <si>
    <t>* Contribution forgone is a relevant cost</t>
  </si>
  <si>
    <t>Total relevant cost</t>
  </si>
  <si>
    <t>Minimum sales value</t>
  </si>
  <si>
    <t>Minimum price is to coverup the relevant cost</t>
  </si>
  <si>
    <t>No. of units</t>
  </si>
  <si>
    <t>Minimum selling price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</si>
</sst>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43" fontId="0" fillId="0" borderId="0" xfId="1" applyFont="1"/>
    <xf numFmtId="43" fontId="0" fillId="0" borderId="0" xfId="1" applyFont="1" applyAlignment="1">
      <alignment horizontal="left"/>
    </xf>
    <xf numFmtId="0" fontId="0" fillId="0" borderId="0" xfId="0" quotePrefix="1"/>
    <xf numFmtId="0" fontId="3" fillId="0" borderId="0" xfId="0" applyFont="1"/>
    <xf numFmtId="43" fontId="0" fillId="0" borderId="0" xfId="0" applyNumberFormat="1"/>
    <xf numFmtId="0" fontId="4" fillId="0" borderId="0" xfId="0" applyFont="1"/>
    <xf numFmtId="43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43" fontId="0" fillId="0" borderId="1" xfId="1" applyFont="1" applyBorder="1"/>
    <xf numFmtId="43" fontId="6" fillId="0" borderId="1" xfId="1" applyFont="1" applyBorder="1"/>
    <xf numFmtId="9" fontId="0" fillId="0" borderId="0" xfId="2" applyFont="1"/>
    <xf numFmtId="10" fontId="0" fillId="0" borderId="0" xfId="2" applyNumberFormat="1" applyFont="1"/>
    <xf numFmtId="43" fontId="0" fillId="0" borderId="2" xfId="1" applyFont="1" applyBorder="1"/>
    <xf numFmtId="43" fontId="7" fillId="0" borderId="0" xfId="1" applyFont="1"/>
    <xf numFmtId="43" fontId="2" fillId="0" borderId="0" xfId="1" applyFont="1"/>
    <xf numFmtId="43" fontId="0" fillId="2" borderId="0" xfId="1" applyFont="1" applyFill="1"/>
    <xf numFmtId="43" fontId="9" fillId="0" borderId="0" xfId="1" applyFont="1"/>
    <xf numFmtId="43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2"/>
    </xf>
    <xf numFmtId="10" fontId="0" fillId="0" borderId="0" xfId="0" applyNumberFormat="1"/>
    <xf numFmtId="0" fontId="0" fillId="0" borderId="2" xfId="0" applyBorder="1"/>
    <xf numFmtId="9" fontId="8" fillId="0" borderId="0" xfId="2" applyFont="1"/>
    <xf numFmtId="43" fontId="0" fillId="0" borderId="0" xfId="1" applyFont="1" applyBorder="1"/>
    <xf numFmtId="0" fontId="10" fillId="0" borderId="0" xfId="0" applyFont="1"/>
    <xf numFmtId="0" fontId="9" fillId="0" borderId="0" xfId="0" applyFont="1"/>
    <xf numFmtId="9" fontId="2" fillId="0" borderId="0" xfId="2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3" fontId="0" fillId="0" borderId="0" xfId="0" applyNumberFormat="1"/>
    <xf numFmtId="0" fontId="0" fillId="0" borderId="1" xfId="0" applyBorder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right"/>
    </xf>
    <xf numFmtId="43" fontId="0" fillId="0" borderId="3" xfId="1" applyFont="1" applyBorder="1"/>
    <xf numFmtId="43" fontId="0" fillId="0" borderId="1" xfId="0" applyNumberFormat="1" applyBorder="1"/>
    <xf numFmtId="0" fontId="12" fillId="0" borderId="0" xfId="0" applyFont="1"/>
    <xf numFmtId="43" fontId="12" fillId="0" borderId="0" xfId="1" applyFont="1"/>
    <xf numFmtId="10" fontId="0" fillId="0" borderId="3" xfId="2" applyNumberFormat="1" applyFont="1" applyBorder="1"/>
    <xf numFmtId="16" fontId="0" fillId="0" borderId="0" xfId="0" quotePrefix="1" applyNumberFormat="1"/>
    <xf numFmtId="0" fontId="3" fillId="0" borderId="0" xfId="0" applyFont="1" applyAlignment="1">
      <alignment horizontal="right" wrapText="1"/>
    </xf>
    <xf numFmtId="43" fontId="3" fillId="0" borderId="2" xfId="0" applyNumberFormat="1" applyFont="1" applyBorder="1"/>
    <xf numFmtId="0" fontId="11" fillId="0" borderId="0" xfId="0" applyFont="1"/>
    <xf numFmtId="43" fontId="11" fillId="0" borderId="2" xfId="0" applyNumberFormat="1" applyFont="1" applyBorder="1"/>
    <xf numFmtId="43" fontId="3" fillId="0" borderId="0" xfId="0" applyNumberFormat="1" applyFont="1"/>
    <xf numFmtId="43" fontId="3" fillId="0" borderId="0" xfId="1" applyFont="1"/>
    <xf numFmtId="43" fontId="0" fillId="4" borderId="0" xfId="0" applyNumberFormat="1" applyFill="1"/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33</xdr:row>
      <xdr:rowOff>76200</xdr:rowOff>
    </xdr:from>
    <xdr:to>
      <xdr:col>5</xdr:col>
      <xdr:colOff>828675</xdr:colOff>
      <xdr:row>38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848225" y="6362700"/>
          <a:ext cx="1752600" cy="933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352424</xdr:colOff>
      <xdr:row>19</xdr:row>
      <xdr:rowOff>114300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152400</xdr:rowOff>
    </xdr:from>
    <xdr:to>
      <xdr:col>7</xdr:col>
      <xdr:colOff>19050</xdr:colOff>
      <xdr:row>23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5963AF90-4BD5-4B80-A15A-6F8FEFFA8EB5}"/>
            </a:ext>
          </a:extLst>
        </xdr:cNvPr>
        <xdr:cNvCxnSpPr/>
      </xdr:nvCxnSpPr>
      <xdr:spPr>
        <a:xfrm flipH="1" flipV="1">
          <a:off x="7019925" y="914400"/>
          <a:ext cx="9525" cy="35337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11</xdr:row>
      <xdr:rowOff>171450</xdr:rowOff>
    </xdr:from>
    <xdr:to>
      <xdr:col>17</xdr:col>
      <xdr:colOff>390525</xdr:colOff>
      <xdr:row>12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D13840DA-82DA-44BE-9E40-3C13A1CB1A61}"/>
            </a:ext>
          </a:extLst>
        </xdr:cNvPr>
        <xdr:cNvCxnSpPr/>
      </xdr:nvCxnSpPr>
      <xdr:spPr>
        <a:xfrm>
          <a:off x="5819775" y="2266950"/>
          <a:ext cx="6457950" cy="285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742950</xdr:colOff>
      <xdr:row>21</xdr:row>
      <xdr:rowOff>95250</xdr:rowOff>
    </xdr:from>
    <xdr:to>
      <xdr:col>7</xdr:col>
      <xdr:colOff>85725</xdr:colOff>
      <xdr:row>22</xdr:row>
      <xdr:rowOff>38100</xdr:rowOff>
    </xdr:to>
    <xdr:sp macro="" textlink="">
      <xdr:nvSpPr>
        <xdr:cNvPr id="11" name="Star: 5 Points 10">
          <a:extLst>
            <a:ext uri="{FF2B5EF4-FFF2-40B4-BE49-F238E27FC236}">
              <a16:creationId xmlns:a16="http://schemas.microsoft.com/office/drawing/2014/main" xmlns="" id="{97D649CA-CFAB-49E7-B497-1D98C74EF9C9}"/>
            </a:ext>
          </a:extLst>
        </xdr:cNvPr>
        <xdr:cNvSpPr/>
      </xdr:nvSpPr>
      <xdr:spPr>
        <a:xfrm>
          <a:off x="5715000" y="4095750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295275</xdr:colOff>
      <xdr:row>17</xdr:row>
      <xdr:rowOff>114300</xdr:rowOff>
    </xdr:from>
    <xdr:to>
      <xdr:col>8</xdr:col>
      <xdr:colOff>457200</xdr:colOff>
      <xdr:row>18</xdr:row>
      <xdr:rowOff>57150</xdr:rowOff>
    </xdr:to>
    <xdr:sp macro="" textlink="">
      <xdr:nvSpPr>
        <xdr:cNvPr id="12" name="Star: 5 Points 11">
          <a:extLst>
            <a:ext uri="{FF2B5EF4-FFF2-40B4-BE49-F238E27FC236}">
              <a16:creationId xmlns:a16="http://schemas.microsoft.com/office/drawing/2014/main" xmlns="" id="{B00B9B43-7686-43D4-BF65-AF6834DFDC90}"/>
            </a:ext>
          </a:extLst>
        </xdr:cNvPr>
        <xdr:cNvSpPr/>
      </xdr:nvSpPr>
      <xdr:spPr>
        <a:xfrm>
          <a:off x="6696075" y="3352800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523875</xdr:colOff>
      <xdr:row>12</xdr:row>
      <xdr:rowOff>114300</xdr:rowOff>
    </xdr:from>
    <xdr:to>
      <xdr:col>11</xdr:col>
      <xdr:colOff>76200</xdr:colOff>
      <xdr:row>13</xdr:row>
      <xdr:rowOff>57150</xdr:rowOff>
    </xdr:to>
    <xdr:sp macro="" textlink="">
      <xdr:nvSpPr>
        <xdr:cNvPr id="13" name="Star: 5 Points 12">
          <a:extLst>
            <a:ext uri="{FF2B5EF4-FFF2-40B4-BE49-F238E27FC236}">
              <a16:creationId xmlns:a16="http://schemas.microsoft.com/office/drawing/2014/main" xmlns="" id="{4506B84E-CC91-409E-B87F-97F0A44A99CD}"/>
            </a:ext>
          </a:extLst>
        </xdr:cNvPr>
        <xdr:cNvSpPr/>
      </xdr:nvSpPr>
      <xdr:spPr>
        <a:xfrm>
          <a:off x="8143875" y="2400300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533400</xdr:colOff>
      <xdr:row>6</xdr:row>
      <xdr:rowOff>104775</xdr:rowOff>
    </xdr:from>
    <xdr:to>
      <xdr:col>17</xdr:col>
      <xdr:colOff>85725</xdr:colOff>
      <xdr:row>7</xdr:row>
      <xdr:rowOff>47625</xdr:rowOff>
    </xdr:to>
    <xdr:sp macro="" textlink="">
      <xdr:nvSpPr>
        <xdr:cNvPr id="14" name="Star: 5 Points 13">
          <a:extLst>
            <a:ext uri="{FF2B5EF4-FFF2-40B4-BE49-F238E27FC236}">
              <a16:creationId xmlns:a16="http://schemas.microsoft.com/office/drawing/2014/main" xmlns="" id="{D10AEE36-0765-4BC2-80CD-D0113F024DE8}"/>
            </a:ext>
          </a:extLst>
        </xdr:cNvPr>
        <xdr:cNvSpPr/>
      </xdr:nvSpPr>
      <xdr:spPr>
        <a:xfrm>
          <a:off x="11811000" y="1247775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85725</xdr:colOff>
      <xdr:row>18</xdr:row>
      <xdr:rowOff>57150</xdr:rowOff>
    </xdr:from>
    <xdr:to>
      <xdr:col>8</xdr:col>
      <xdr:colOff>326200</xdr:colOff>
      <xdr:row>21</xdr:row>
      <xdr:rowOff>146185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C44A14F7-B8A2-4BEE-B55F-0C598D594682}"/>
            </a:ext>
          </a:extLst>
        </xdr:cNvPr>
        <xdr:cNvCxnSpPr>
          <a:stCxn id="11" idx="4"/>
          <a:endCxn id="12" idx="2"/>
        </xdr:cNvCxnSpPr>
      </xdr:nvCxnSpPr>
      <xdr:spPr>
        <a:xfrm flipV="1">
          <a:off x="5876925" y="3486150"/>
          <a:ext cx="850075" cy="6605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13</xdr:row>
      <xdr:rowOff>57150</xdr:rowOff>
    </xdr:from>
    <xdr:to>
      <xdr:col>10</xdr:col>
      <xdr:colOff>554800</xdr:colOff>
      <xdr:row>18</xdr:row>
      <xdr:rowOff>31885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61521074-6D45-4798-9A28-3AB28DBE473A}"/>
            </a:ext>
          </a:extLst>
        </xdr:cNvPr>
        <xdr:cNvCxnSpPr>
          <a:endCxn id="13" idx="2"/>
        </xdr:cNvCxnSpPr>
      </xdr:nvCxnSpPr>
      <xdr:spPr>
        <a:xfrm flipV="1">
          <a:off x="6743700" y="2533650"/>
          <a:ext cx="1431100" cy="9272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155710</xdr:rowOff>
    </xdr:from>
    <xdr:to>
      <xdr:col>17</xdr:col>
      <xdr:colOff>85725</xdr:colOff>
      <xdr:row>13</xdr:row>
      <xdr:rowOff>3310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9A904376-48ED-4EDA-B78A-CCDE38636C87}"/>
            </a:ext>
          </a:extLst>
        </xdr:cNvPr>
        <xdr:cNvCxnSpPr>
          <a:endCxn id="14" idx="4"/>
        </xdr:cNvCxnSpPr>
      </xdr:nvCxnSpPr>
      <xdr:spPr>
        <a:xfrm flipV="1">
          <a:off x="8229600" y="1298710"/>
          <a:ext cx="3743325" cy="1181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7</xdr:row>
      <xdr:rowOff>152400</xdr:rowOff>
    </xdr:from>
    <xdr:to>
      <xdr:col>13</xdr:col>
      <xdr:colOff>457200</xdr:colOff>
      <xdr:row>9</xdr:row>
      <xdr:rowOff>142875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5CD49311-85CC-44D2-9EBB-8152D4209D59}"/>
            </a:ext>
          </a:extLst>
        </xdr:cNvPr>
        <xdr:cNvCxnSpPr/>
      </xdr:nvCxnSpPr>
      <xdr:spPr>
        <a:xfrm>
          <a:off x="9505950" y="1485900"/>
          <a:ext cx="40005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6</xdr:row>
      <xdr:rowOff>47625</xdr:rowOff>
    </xdr:from>
    <xdr:to>
      <xdr:col>17</xdr:col>
      <xdr:colOff>295275</xdr:colOff>
      <xdr:row>23</xdr:row>
      <xdr:rowOff>47625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1D9CFB4C-17D0-4EF6-8D7D-4E376A398CD9}"/>
            </a:ext>
          </a:extLst>
        </xdr:cNvPr>
        <xdr:cNvCxnSpPr/>
      </xdr:nvCxnSpPr>
      <xdr:spPr>
        <a:xfrm flipV="1">
          <a:off x="5286375" y="1190625"/>
          <a:ext cx="6896100" cy="32385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15</xdr:row>
      <xdr:rowOff>28575</xdr:rowOff>
    </xdr:from>
    <xdr:to>
      <xdr:col>12</xdr:col>
      <xdr:colOff>142875</xdr:colOff>
      <xdr:row>17</xdr:row>
      <xdr:rowOff>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xmlns="" id="{5FA33125-155B-475E-BFD4-0DCC865C79BB}"/>
            </a:ext>
          </a:extLst>
        </xdr:cNvPr>
        <xdr:cNvCxnSpPr/>
      </xdr:nvCxnSpPr>
      <xdr:spPr>
        <a:xfrm flipH="1" flipV="1">
          <a:off x="8753475" y="2886075"/>
          <a:ext cx="22860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371475</xdr:colOff>
      <xdr:row>11</xdr:row>
      <xdr:rowOff>142875</xdr:rowOff>
    </xdr:from>
    <xdr:to>
      <xdr:col>13</xdr:col>
      <xdr:colOff>438150</xdr:colOff>
      <xdr:row>12</xdr:row>
      <xdr:rowOff>38100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xmlns="" id="{7B400B3E-9178-492D-8876-5EDCE502D1B2}"/>
            </a:ext>
          </a:extLst>
        </xdr:cNvPr>
        <xdr:cNvSpPr/>
      </xdr:nvSpPr>
      <xdr:spPr>
        <a:xfrm>
          <a:off x="9820275" y="2238375"/>
          <a:ext cx="66675" cy="857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419099</xdr:colOff>
      <xdr:row>12</xdr:row>
      <xdr:rowOff>57153</xdr:rowOff>
    </xdr:from>
    <xdr:to>
      <xdr:col>16</xdr:col>
      <xdr:colOff>590549</xdr:colOff>
      <xdr:row>14</xdr:row>
      <xdr:rowOff>19051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xmlns="" id="{3DFA666F-7C75-48ED-B9B6-259A1CC2932C}"/>
            </a:ext>
          </a:extLst>
        </xdr:cNvPr>
        <xdr:cNvSpPr/>
      </xdr:nvSpPr>
      <xdr:spPr>
        <a:xfrm rot="5400000">
          <a:off x="10696575" y="1514477"/>
          <a:ext cx="342898" cy="20002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581024</xdr:colOff>
      <xdr:row>19</xdr:row>
      <xdr:rowOff>114300</xdr:rowOff>
    </xdr:to>
    <xdr:sp macro="" textlink="">
      <xdr:nvSpPr>
        <xdr:cNvPr id="18" name="Rectangle 17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38100</xdr:rowOff>
    </xdr:from>
    <xdr:to>
      <xdr:col>8</xdr:col>
      <xdr:colOff>9525</xdr:colOff>
      <xdr:row>25</xdr:row>
      <xdr:rowOff>85725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FFB81EF6-A9D6-4B7C-9B31-5D151E270CEE}"/>
            </a:ext>
          </a:extLst>
        </xdr:cNvPr>
        <xdr:cNvCxnSpPr/>
      </xdr:nvCxnSpPr>
      <xdr:spPr>
        <a:xfrm flipH="1" flipV="1">
          <a:off x="6591300" y="1019175"/>
          <a:ext cx="9525" cy="38576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742950</xdr:colOff>
      <xdr:row>9</xdr:row>
      <xdr:rowOff>180975</xdr:rowOff>
    </xdr:from>
    <xdr:to>
      <xdr:col>16</xdr:col>
      <xdr:colOff>161925</xdr:colOff>
      <xdr:row>10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FC00FA0E-3F19-4B07-8C75-AFB1A5157DEE}"/>
            </a:ext>
          </a:extLst>
        </xdr:cNvPr>
        <xdr:cNvCxnSpPr/>
      </xdr:nvCxnSpPr>
      <xdr:spPr>
        <a:xfrm>
          <a:off x="6581775" y="1924050"/>
          <a:ext cx="5048250" cy="190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695325</xdr:colOff>
      <xdr:row>24</xdr:row>
      <xdr:rowOff>85725</xdr:rowOff>
    </xdr:from>
    <xdr:to>
      <xdr:col>8</xdr:col>
      <xdr:colOff>104775</xdr:colOff>
      <xdr:row>25</xdr:row>
      <xdr:rowOff>28575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xmlns="" id="{02421ABC-DFDF-440B-B198-D986814E62F9}"/>
            </a:ext>
          </a:extLst>
        </xdr:cNvPr>
        <xdr:cNvSpPr/>
      </xdr:nvSpPr>
      <xdr:spPr>
        <a:xfrm>
          <a:off x="6534150" y="4686300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276225</xdr:colOff>
      <xdr:row>22</xdr:row>
      <xdr:rowOff>19050</xdr:rowOff>
    </xdr:from>
    <xdr:to>
      <xdr:col>8</xdr:col>
      <xdr:colOff>438150</xdr:colOff>
      <xdr:row>22</xdr:row>
      <xdr:rowOff>152400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xmlns="" id="{BF5D0604-6283-4962-9454-54CCAD4AB486}"/>
            </a:ext>
          </a:extLst>
        </xdr:cNvPr>
        <xdr:cNvSpPr/>
      </xdr:nvSpPr>
      <xdr:spPr>
        <a:xfrm>
          <a:off x="6867525" y="4238625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219075</xdr:colOff>
      <xdr:row>14</xdr:row>
      <xdr:rowOff>180975</xdr:rowOff>
    </xdr:from>
    <xdr:to>
      <xdr:col>10</xdr:col>
      <xdr:colOff>381000</xdr:colOff>
      <xdr:row>15</xdr:row>
      <xdr:rowOff>123825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xmlns="" id="{06066D19-8F51-433F-98EE-7FF2FB42671B}"/>
            </a:ext>
          </a:extLst>
        </xdr:cNvPr>
        <xdr:cNvSpPr/>
      </xdr:nvSpPr>
      <xdr:spPr>
        <a:xfrm>
          <a:off x="8029575" y="2876550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333375</xdr:colOff>
      <xdr:row>6</xdr:row>
      <xdr:rowOff>57150</xdr:rowOff>
    </xdr:from>
    <xdr:to>
      <xdr:col>14</xdr:col>
      <xdr:colOff>495300</xdr:colOff>
      <xdr:row>7</xdr:row>
      <xdr:rowOff>0</xdr:rowOff>
    </xdr:to>
    <xdr:sp macro="" textlink="">
      <xdr:nvSpPr>
        <xdr:cNvPr id="10" name="Star: 5 Points 9">
          <a:extLst>
            <a:ext uri="{FF2B5EF4-FFF2-40B4-BE49-F238E27FC236}">
              <a16:creationId xmlns:a16="http://schemas.microsoft.com/office/drawing/2014/main" xmlns="" id="{96D218E1-50A5-4EE2-85BA-DD8D2202C4E7}"/>
            </a:ext>
          </a:extLst>
        </xdr:cNvPr>
        <xdr:cNvSpPr/>
      </xdr:nvSpPr>
      <xdr:spPr>
        <a:xfrm>
          <a:off x="10582275" y="1228725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742950</xdr:colOff>
      <xdr:row>22</xdr:row>
      <xdr:rowOff>152400</xdr:rowOff>
    </xdr:from>
    <xdr:to>
      <xdr:col>8</xdr:col>
      <xdr:colOff>307150</xdr:colOff>
      <xdr:row>24</xdr:row>
      <xdr:rowOff>184285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D09C87E3-BA06-4CDB-90B3-99E3508ED603}"/>
            </a:ext>
          </a:extLst>
        </xdr:cNvPr>
        <xdr:cNvCxnSpPr>
          <a:endCxn id="8" idx="2"/>
        </xdr:cNvCxnSpPr>
      </xdr:nvCxnSpPr>
      <xdr:spPr>
        <a:xfrm flipV="1">
          <a:off x="6581775" y="4371975"/>
          <a:ext cx="316675" cy="4128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15</xdr:row>
      <xdr:rowOff>123825</xdr:rowOff>
    </xdr:from>
    <xdr:to>
      <xdr:col>10</xdr:col>
      <xdr:colOff>250000</xdr:colOff>
      <xdr:row>22</xdr:row>
      <xdr:rowOff>108085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5B53A7E1-78AD-4892-9C7A-B30E50C82842}"/>
            </a:ext>
          </a:extLst>
        </xdr:cNvPr>
        <xdr:cNvCxnSpPr>
          <a:endCxn id="9" idx="2"/>
        </xdr:cNvCxnSpPr>
      </xdr:nvCxnSpPr>
      <xdr:spPr>
        <a:xfrm flipV="1">
          <a:off x="6934200" y="3009900"/>
          <a:ext cx="1126300" cy="1317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6</xdr:row>
      <xdr:rowOff>133350</xdr:rowOff>
    </xdr:from>
    <xdr:to>
      <xdr:col>14</xdr:col>
      <xdr:colOff>402400</xdr:colOff>
      <xdr:row>15</xdr:row>
      <xdr:rowOff>41410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36A52352-1C8B-4FE8-A366-B6338EB003FC}"/>
            </a:ext>
          </a:extLst>
        </xdr:cNvPr>
        <xdr:cNvCxnSpPr>
          <a:stCxn id="9" idx="4"/>
        </xdr:cNvCxnSpPr>
      </xdr:nvCxnSpPr>
      <xdr:spPr>
        <a:xfrm flipV="1">
          <a:off x="8191500" y="1304925"/>
          <a:ext cx="2459800" cy="1622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7</xdr:row>
      <xdr:rowOff>38100</xdr:rowOff>
    </xdr:from>
    <xdr:to>
      <xdr:col>13</xdr:col>
      <xdr:colOff>228600</xdr:colOff>
      <xdr:row>8</xdr:row>
      <xdr:rowOff>152400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xmlns="" id="{6540A825-6AC3-4F86-A70E-8907707E22D8}"/>
            </a:ext>
          </a:extLst>
        </xdr:cNvPr>
        <xdr:cNvCxnSpPr/>
      </xdr:nvCxnSpPr>
      <xdr:spPr>
        <a:xfrm>
          <a:off x="9134475" y="1400175"/>
          <a:ext cx="733425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6</xdr:row>
      <xdr:rowOff>9525</xdr:rowOff>
    </xdr:from>
    <xdr:to>
      <xdr:col>14</xdr:col>
      <xdr:colOff>561975</xdr:colOff>
      <xdr:row>25</xdr:row>
      <xdr:rowOff>76200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F8503CD0-3202-460E-9BF4-7F74690DCB0C}"/>
            </a:ext>
          </a:extLst>
        </xdr:cNvPr>
        <xdr:cNvCxnSpPr/>
      </xdr:nvCxnSpPr>
      <xdr:spPr>
        <a:xfrm flipH="1">
          <a:off x="6448425" y="1181100"/>
          <a:ext cx="4362450" cy="36861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542925</xdr:colOff>
      <xdr:row>14</xdr:row>
      <xdr:rowOff>142875</xdr:rowOff>
    </xdr:from>
    <xdr:to>
      <xdr:col>12</xdr:col>
      <xdr:colOff>523875</xdr:colOff>
      <xdr:row>16</xdr:row>
      <xdr:rowOff>47625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xmlns="" id="{1722A8C4-B68B-4C75-9BC0-08851D7DDBC8}"/>
            </a:ext>
          </a:extLst>
        </xdr:cNvPr>
        <xdr:cNvCxnSpPr/>
      </xdr:nvCxnSpPr>
      <xdr:spPr>
        <a:xfrm flipH="1" flipV="1">
          <a:off x="8963025" y="2838450"/>
          <a:ext cx="59055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238125</xdr:colOff>
      <xdr:row>9</xdr:row>
      <xdr:rowOff>152400</xdr:rowOff>
    </xdr:from>
    <xdr:to>
      <xdr:col>13</xdr:col>
      <xdr:colOff>304800</xdr:colOff>
      <xdr:row>10</xdr:row>
      <xdr:rowOff>47625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xmlns="" id="{DC194E39-D085-4463-A643-9A05043ADD64}"/>
            </a:ext>
          </a:extLst>
        </xdr:cNvPr>
        <xdr:cNvSpPr/>
      </xdr:nvSpPr>
      <xdr:spPr>
        <a:xfrm>
          <a:off x="9877425" y="1895475"/>
          <a:ext cx="66675" cy="857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285750</xdr:colOff>
      <xdr:row>10</xdr:row>
      <xdr:rowOff>66675</xdr:rowOff>
    </xdr:from>
    <xdr:to>
      <xdr:col>14</xdr:col>
      <xdr:colOff>495300</xdr:colOff>
      <xdr:row>11</xdr:row>
      <xdr:rowOff>133350</xdr:rowOff>
    </xdr:to>
    <xdr:sp macro="" textlink="">
      <xdr:nvSpPr>
        <xdr:cNvPr id="28" name="Right Brace 27">
          <a:extLst>
            <a:ext uri="{FF2B5EF4-FFF2-40B4-BE49-F238E27FC236}">
              <a16:creationId xmlns:a16="http://schemas.microsoft.com/office/drawing/2014/main" xmlns="" id="{2912B2C7-BB79-48E8-8706-6F1211CE3DF1}"/>
            </a:ext>
          </a:extLst>
        </xdr:cNvPr>
        <xdr:cNvSpPr/>
      </xdr:nvSpPr>
      <xdr:spPr>
        <a:xfrm rot="5400000">
          <a:off x="10206037" y="1719263"/>
          <a:ext cx="257175" cy="8191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323849</xdr:colOff>
      <xdr:row>19</xdr:row>
      <xdr:rowOff>85725</xdr:rowOff>
    </xdr:to>
    <xdr:sp macro="" textlink="">
      <xdr:nvSpPr>
        <xdr:cNvPr id="17" name="Rectangle 16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219074</xdr:colOff>
      <xdr:row>19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30</xdr:row>
      <xdr:rowOff>47625</xdr:rowOff>
    </xdr:from>
    <xdr:to>
      <xdr:col>2</xdr:col>
      <xdr:colOff>533400</xdr:colOff>
      <xdr:row>30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A3C3D30C-071D-41BA-8A54-ECE2D8018A04}"/>
            </a:ext>
          </a:extLst>
        </xdr:cNvPr>
        <xdr:cNvCxnSpPr/>
      </xdr:nvCxnSpPr>
      <xdr:spPr>
        <a:xfrm flipH="1" flipV="1">
          <a:off x="2495550" y="5781675"/>
          <a:ext cx="7810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133349</xdr:colOff>
      <xdr:row>18</xdr:row>
      <xdr:rowOff>95250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323849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57149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314324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1</xdr:row>
      <xdr:rowOff>161925</xdr:rowOff>
    </xdr:from>
    <xdr:to>
      <xdr:col>4</xdr:col>
      <xdr:colOff>571500</xdr:colOff>
      <xdr:row>3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flipH="1">
          <a:off x="2714625" y="352425"/>
          <a:ext cx="628650" cy="2857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3</xdr:row>
      <xdr:rowOff>171450</xdr:rowOff>
    </xdr:from>
    <xdr:to>
      <xdr:col>3</xdr:col>
      <xdr:colOff>371476</xdr:colOff>
      <xdr:row>5</xdr:row>
      <xdr:rowOff>66675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flipH="1">
          <a:off x="2190750" y="742950"/>
          <a:ext cx="9526" cy="2762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5</xdr:row>
      <xdr:rowOff>161925</xdr:rowOff>
    </xdr:from>
    <xdr:to>
      <xdr:col>3</xdr:col>
      <xdr:colOff>361951</xdr:colOff>
      <xdr:row>7</xdr:row>
      <xdr:rowOff>409575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flipH="1">
          <a:off x="2181225" y="1114425"/>
          <a:ext cx="9526" cy="6286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781050</xdr:colOff>
      <xdr:row>1</xdr:row>
      <xdr:rowOff>142875</xdr:rowOff>
    </xdr:from>
    <xdr:to>
      <xdr:col>7</xdr:col>
      <xdr:colOff>266700</xdr:colOff>
      <xdr:row>3</xdr:row>
      <xdr:rowOff>19050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4772025" y="333375"/>
          <a:ext cx="419100" cy="2571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3</xdr:row>
      <xdr:rowOff>171450</xdr:rowOff>
    </xdr:from>
    <xdr:to>
      <xdr:col>7</xdr:col>
      <xdr:colOff>161926</xdr:colOff>
      <xdr:row>4</xdr:row>
      <xdr:rowOff>161925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flipH="1">
          <a:off x="4162425" y="742950"/>
          <a:ext cx="600076" cy="1809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3</xdr:row>
      <xdr:rowOff>161925</xdr:rowOff>
    </xdr:from>
    <xdr:to>
      <xdr:col>9</xdr:col>
      <xdr:colOff>57150</xdr:colOff>
      <xdr:row>4</xdr:row>
      <xdr:rowOff>123825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5172075" y="733425"/>
          <a:ext cx="704850" cy="1524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5</xdr:row>
      <xdr:rowOff>142875</xdr:rowOff>
    </xdr:from>
    <xdr:to>
      <xdr:col>6</xdr:col>
      <xdr:colOff>285751</xdr:colOff>
      <xdr:row>7</xdr:row>
      <xdr:rowOff>38100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flipH="1">
          <a:off x="4267200" y="1095375"/>
          <a:ext cx="9526" cy="2762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7</xdr:row>
      <xdr:rowOff>742950</xdr:rowOff>
    </xdr:from>
    <xdr:to>
      <xdr:col>6</xdr:col>
      <xdr:colOff>266701</xdr:colOff>
      <xdr:row>9</xdr:row>
      <xdr:rowOff>66675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flipH="1">
          <a:off x="4248150" y="2076450"/>
          <a:ext cx="9526" cy="2762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9525</xdr:rowOff>
    </xdr:from>
    <xdr:to>
      <xdr:col>10</xdr:col>
      <xdr:colOff>19051</xdr:colOff>
      <xdr:row>7</xdr:row>
      <xdr:rowOff>95250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H="1">
          <a:off x="6762750" y="1152525"/>
          <a:ext cx="9526" cy="2762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7</xdr:row>
      <xdr:rowOff>190500</xdr:rowOff>
    </xdr:from>
    <xdr:to>
      <xdr:col>9</xdr:col>
      <xdr:colOff>523876</xdr:colOff>
      <xdr:row>7</xdr:row>
      <xdr:rowOff>733425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flipH="1">
          <a:off x="6115050" y="1524000"/>
          <a:ext cx="552451" cy="5429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161926</xdr:colOff>
      <xdr:row>7</xdr:row>
      <xdr:rowOff>190500</xdr:rowOff>
    </xdr:from>
    <xdr:to>
      <xdr:col>10</xdr:col>
      <xdr:colOff>276225</xdr:colOff>
      <xdr:row>7</xdr:row>
      <xdr:rowOff>723900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>
          <a:off x="6915151" y="1524000"/>
          <a:ext cx="114299" cy="5334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409576</xdr:colOff>
      <xdr:row>7</xdr:row>
      <xdr:rowOff>104775</xdr:rowOff>
    </xdr:from>
    <xdr:to>
      <xdr:col>12</xdr:col>
      <xdr:colOff>114300</xdr:colOff>
      <xdr:row>7</xdr:row>
      <xdr:rowOff>752475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7162801" y="1438275"/>
          <a:ext cx="923924" cy="6477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9</xdr:row>
      <xdr:rowOff>38100</xdr:rowOff>
    </xdr:from>
    <xdr:to>
      <xdr:col>10</xdr:col>
      <xdr:colOff>552450</xdr:colOff>
      <xdr:row>9</xdr:row>
      <xdr:rowOff>571500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7296150" y="2324100"/>
          <a:ext cx="9525" cy="5334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133349</xdr:colOff>
      <xdr:row>13</xdr:row>
      <xdr:rowOff>114300</xdr:rowOff>
    </xdr:to>
    <xdr:sp macro="" textlink="">
      <xdr:nvSpPr>
        <xdr:cNvPr id="15" name="Rectangle 14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0</xdr:rowOff>
    </xdr:from>
    <xdr:to>
      <xdr:col>6</xdr:col>
      <xdr:colOff>19050</xdr:colOff>
      <xdr:row>3</xdr:row>
      <xdr:rowOff>161925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E9BE9EBF-81B9-4A2A-BCF3-98E33EC03656}"/>
            </a:ext>
          </a:extLst>
        </xdr:cNvPr>
        <xdr:cNvCxnSpPr/>
      </xdr:nvCxnSpPr>
      <xdr:spPr>
        <a:xfrm flipH="1">
          <a:off x="2667000" y="381000"/>
          <a:ext cx="1009650" cy="3524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2</xdr:row>
      <xdr:rowOff>9525</xdr:rowOff>
    </xdr:from>
    <xdr:to>
      <xdr:col>7</xdr:col>
      <xdr:colOff>571500</xdr:colOff>
      <xdr:row>3</xdr:row>
      <xdr:rowOff>142875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745A6EE3-931D-429E-9C0B-D1AEEEDB1A2B}"/>
            </a:ext>
          </a:extLst>
        </xdr:cNvPr>
        <xdr:cNvCxnSpPr/>
      </xdr:nvCxnSpPr>
      <xdr:spPr>
        <a:xfrm>
          <a:off x="3695700" y="390525"/>
          <a:ext cx="1143000" cy="3238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4</xdr:row>
      <xdr:rowOff>152400</xdr:rowOff>
    </xdr:from>
    <xdr:to>
      <xdr:col>4</xdr:col>
      <xdr:colOff>295275</xdr:colOff>
      <xdr:row>7</xdr:row>
      <xdr:rowOff>76200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9D5103C5-0389-4A15-83B3-6806EE1F46FB}"/>
            </a:ext>
          </a:extLst>
        </xdr:cNvPr>
        <xdr:cNvCxnSpPr/>
      </xdr:nvCxnSpPr>
      <xdr:spPr>
        <a:xfrm flipH="1">
          <a:off x="2724150" y="914400"/>
          <a:ext cx="9525" cy="4953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5</xdr:row>
      <xdr:rowOff>9525</xdr:rowOff>
    </xdr:from>
    <xdr:to>
      <xdr:col>9</xdr:col>
      <xdr:colOff>57150</xdr:colOff>
      <xdr:row>6</xdr:row>
      <xdr:rowOff>66675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9623CCE2-756C-4443-AB70-B43CF8CB8436}"/>
            </a:ext>
          </a:extLst>
        </xdr:cNvPr>
        <xdr:cNvCxnSpPr/>
      </xdr:nvCxnSpPr>
      <xdr:spPr>
        <a:xfrm flipH="1">
          <a:off x="5057775" y="962025"/>
          <a:ext cx="485775" cy="2476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6</xdr:row>
      <xdr:rowOff>180975</xdr:rowOff>
    </xdr:from>
    <xdr:to>
      <xdr:col>8</xdr:col>
      <xdr:colOff>542925</xdr:colOff>
      <xdr:row>8</xdr:row>
      <xdr:rowOff>47625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E042E662-D505-44E2-BCEB-95CBBE6244CB}"/>
            </a:ext>
          </a:extLst>
        </xdr:cNvPr>
        <xdr:cNvCxnSpPr/>
      </xdr:nvCxnSpPr>
      <xdr:spPr>
        <a:xfrm flipH="1">
          <a:off x="4933950" y="1323975"/>
          <a:ext cx="485775" cy="2476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6</xdr:row>
      <xdr:rowOff>171450</xdr:rowOff>
    </xdr:from>
    <xdr:to>
      <xdr:col>9</xdr:col>
      <xdr:colOff>447675</xdr:colOff>
      <xdr:row>8</xdr:row>
      <xdr:rowOff>38100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xmlns="" id="{181B39FB-5638-45B1-87DC-89A03781CA60}"/>
            </a:ext>
          </a:extLst>
        </xdr:cNvPr>
        <xdr:cNvCxnSpPr/>
      </xdr:nvCxnSpPr>
      <xdr:spPr>
        <a:xfrm>
          <a:off x="5419725" y="1314450"/>
          <a:ext cx="514350" cy="2476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8</xdr:row>
      <xdr:rowOff>171450</xdr:rowOff>
    </xdr:from>
    <xdr:to>
      <xdr:col>7</xdr:col>
      <xdr:colOff>361950</xdr:colOff>
      <xdr:row>11</xdr:row>
      <xdr:rowOff>95250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xmlns="" id="{FB231BE5-326E-47EE-AEB9-BBF7C0382442}"/>
            </a:ext>
          </a:extLst>
        </xdr:cNvPr>
        <xdr:cNvCxnSpPr/>
      </xdr:nvCxnSpPr>
      <xdr:spPr>
        <a:xfrm flipH="1">
          <a:off x="4619625" y="1695450"/>
          <a:ext cx="9525" cy="4953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8</xdr:row>
      <xdr:rowOff>180975</xdr:rowOff>
    </xdr:from>
    <xdr:to>
      <xdr:col>9</xdr:col>
      <xdr:colOff>333375</xdr:colOff>
      <xdr:row>10</xdr:row>
      <xdr:rowOff>180975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xmlns="" id="{90AD38CE-5D4F-475B-9781-1E8D53198DF0}"/>
            </a:ext>
          </a:extLst>
        </xdr:cNvPr>
        <xdr:cNvCxnSpPr/>
      </xdr:nvCxnSpPr>
      <xdr:spPr>
        <a:xfrm>
          <a:off x="5810250" y="1704975"/>
          <a:ext cx="9525" cy="3810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9525</xdr:rowOff>
    </xdr:from>
    <xdr:to>
      <xdr:col>11</xdr:col>
      <xdr:colOff>285750</xdr:colOff>
      <xdr:row>6</xdr:row>
      <xdr:rowOff>38100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xmlns="" id="{EE175BAC-4784-4174-9619-F20EAD064169}"/>
            </a:ext>
          </a:extLst>
        </xdr:cNvPr>
        <xdr:cNvCxnSpPr/>
      </xdr:nvCxnSpPr>
      <xdr:spPr>
        <a:xfrm>
          <a:off x="6096000" y="962025"/>
          <a:ext cx="895350" cy="2190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552450</xdr:colOff>
      <xdr:row>7</xdr:row>
      <xdr:rowOff>9525</xdr:rowOff>
    </xdr:from>
    <xdr:to>
      <xdr:col>11</xdr:col>
      <xdr:colOff>552450</xdr:colOff>
      <xdr:row>10</xdr:row>
      <xdr:rowOff>47625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xmlns="" id="{DE89A259-B031-4A9D-8825-CFCD8D6BD996}"/>
            </a:ext>
          </a:extLst>
        </xdr:cNvPr>
        <xdr:cNvCxnSpPr/>
      </xdr:nvCxnSpPr>
      <xdr:spPr>
        <a:xfrm>
          <a:off x="7258050" y="1343025"/>
          <a:ext cx="0" cy="6096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533399</xdr:colOff>
      <xdr:row>19</xdr:row>
      <xdr:rowOff>114300</xdr:rowOff>
    </xdr:to>
    <xdr:sp macro="" textlink="">
      <xdr:nvSpPr>
        <xdr:cNvPr id="15" name="Rectangle 14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161924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133349</xdr:colOff>
      <xdr:row>19</xdr:row>
      <xdr:rowOff>28575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514349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247649</xdr:colOff>
      <xdr:row>19</xdr:row>
      <xdr:rowOff>38100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5"/>
  <sheetViews>
    <sheetView tabSelected="1" workbookViewId="0">
      <selection activeCell="J26" sqref="J26"/>
    </sheetView>
  </sheetViews>
  <sheetFormatPr defaultRowHeight="15" x14ac:dyDescent="0.25"/>
  <cols>
    <col min="1" max="1" width="23.140625" bestFit="1" customWidth="1"/>
    <col min="2" max="2" width="13.28515625" bestFit="1" customWidth="1"/>
    <col min="3" max="3" width="26.7109375" customWidth="1"/>
    <col min="4" max="5" width="11.7109375" bestFit="1" customWidth="1"/>
    <col min="6" max="6" width="15.42578125" customWidth="1"/>
    <col min="7" max="7" width="11.5703125" bestFit="1" customWidth="1"/>
    <col min="8" max="8" width="13.28515625" bestFit="1" customWidth="1"/>
  </cols>
  <sheetData>
    <row r="3" spans="1:11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</row>
    <row r="4" spans="1:11" x14ac:dyDescent="0.25">
      <c r="A4" t="s">
        <v>7</v>
      </c>
      <c r="B4" s="1"/>
      <c r="C4" s="1"/>
      <c r="D4" s="1"/>
      <c r="E4" s="1"/>
      <c r="F4" s="1"/>
      <c r="G4" s="1"/>
      <c r="H4" s="1"/>
      <c r="I4" t="s">
        <v>8</v>
      </c>
    </row>
    <row r="5" spans="1:11" x14ac:dyDescent="0.25">
      <c r="B5" s="2">
        <v>0</v>
      </c>
      <c r="C5" s="3">
        <v>350000</v>
      </c>
      <c r="D5" s="3">
        <v>500000</v>
      </c>
      <c r="E5" s="3">
        <v>600000</v>
      </c>
      <c r="F5" s="3">
        <v>725000</v>
      </c>
      <c r="G5" s="3">
        <v>850000</v>
      </c>
      <c r="H5" s="3">
        <v>1000000</v>
      </c>
    </row>
    <row r="8" spans="1:11" x14ac:dyDescent="0.25">
      <c r="B8" t="s">
        <v>0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</row>
    <row r="9" spans="1:11" x14ac:dyDescent="0.25">
      <c r="A9" t="s">
        <v>9</v>
      </c>
      <c r="B9" s="1"/>
      <c r="C9" s="1"/>
      <c r="D9" s="1"/>
      <c r="E9" s="1"/>
      <c r="F9" s="1"/>
      <c r="G9" s="1"/>
      <c r="H9" s="1"/>
      <c r="I9" t="s">
        <v>10</v>
      </c>
    </row>
    <row r="10" spans="1:11" x14ac:dyDescent="0.25">
      <c r="B10" s="4">
        <v>1000000</v>
      </c>
      <c r="C10" s="3"/>
      <c r="D10" s="3"/>
      <c r="E10" s="3"/>
      <c r="F10" s="3"/>
      <c r="G10" s="3"/>
      <c r="H10" s="3">
        <v>0</v>
      </c>
    </row>
    <row r="11" spans="1:11" x14ac:dyDescent="0.25">
      <c r="B11" s="3">
        <v>1000000</v>
      </c>
      <c r="C11" s="3">
        <v>650000</v>
      </c>
      <c r="D11" s="3">
        <v>575000</v>
      </c>
      <c r="E11" s="3">
        <v>400000</v>
      </c>
      <c r="F11" s="3">
        <v>250000</v>
      </c>
      <c r="G11" s="3">
        <v>100000</v>
      </c>
      <c r="H11" s="3">
        <v>0</v>
      </c>
    </row>
    <row r="14" spans="1:11" x14ac:dyDescent="0.25">
      <c r="A14" t="s">
        <v>11</v>
      </c>
      <c r="B14" s="5" t="s">
        <v>12</v>
      </c>
      <c r="C14" t="s">
        <v>13</v>
      </c>
      <c r="G14" s="57" t="s">
        <v>14</v>
      </c>
      <c r="H14" s="57"/>
      <c r="I14" s="57"/>
      <c r="J14" s="57"/>
      <c r="K14" s="57"/>
    </row>
    <row r="15" spans="1:11" x14ac:dyDescent="0.25">
      <c r="A15" t="s">
        <v>11</v>
      </c>
      <c r="B15" s="5" t="s">
        <v>12</v>
      </c>
      <c r="C15" t="s">
        <v>15</v>
      </c>
      <c r="G15" s="57"/>
      <c r="H15" s="57"/>
      <c r="I15" s="57"/>
      <c r="J15" s="57"/>
      <c r="K15" s="57"/>
    </row>
    <row r="16" spans="1:11" x14ac:dyDescent="0.25">
      <c r="A16" t="s">
        <v>11</v>
      </c>
      <c r="B16" s="5" t="s">
        <v>12</v>
      </c>
      <c r="C16" t="s">
        <v>16</v>
      </c>
      <c r="G16" s="57"/>
      <c r="H16" s="57"/>
      <c r="I16" s="57"/>
      <c r="J16" s="57"/>
      <c r="K16" s="57"/>
    </row>
    <row r="17" spans="1:11" x14ac:dyDescent="0.25">
      <c r="A17" t="s">
        <v>11</v>
      </c>
      <c r="B17" s="5" t="s">
        <v>12</v>
      </c>
      <c r="C17" t="s">
        <v>17</v>
      </c>
      <c r="G17" s="57"/>
      <c r="H17" s="57"/>
      <c r="I17" s="57"/>
      <c r="J17" s="57"/>
      <c r="K17" s="57"/>
    </row>
    <row r="18" spans="1:11" x14ac:dyDescent="0.25">
      <c r="A18" t="s">
        <v>11</v>
      </c>
      <c r="B18" s="5" t="s">
        <v>12</v>
      </c>
      <c r="C18" t="s">
        <v>18</v>
      </c>
      <c r="G18" s="57"/>
      <c r="H18" s="57"/>
      <c r="I18" s="57"/>
      <c r="J18" s="57"/>
      <c r="K18" s="57"/>
    </row>
    <row r="19" spans="1:11" x14ac:dyDescent="0.25">
      <c r="A19" t="s">
        <v>11</v>
      </c>
      <c r="B19" s="5" t="s">
        <v>12</v>
      </c>
      <c r="C19" t="s">
        <v>19</v>
      </c>
      <c r="G19" s="57"/>
      <c r="H19" s="57"/>
      <c r="I19" s="57"/>
      <c r="J19" s="57"/>
      <c r="K19" s="57"/>
    </row>
    <row r="22" spans="1:11" x14ac:dyDescent="0.25">
      <c r="A22" t="s">
        <v>20</v>
      </c>
      <c r="B22" t="s">
        <v>21</v>
      </c>
    </row>
    <row r="23" spans="1:11" x14ac:dyDescent="0.25">
      <c r="B23" t="s">
        <v>22</v>
      </c>
    </row>
    <row r="24" spans="1:11" x14ac:dyDescent="0.25">
      <c r="B24" t="s">
        <v>23</v>
      </c>
    </row>
    <row r="25" spans="1:11" x14ac:dyDescent="0.25">
      <c r="B25" t="s">
        <v>24</v>
      </c>
    </row>
    <row r="26" spans="1:11" x14ac:dyDescent="0.25">
      <c r="B26" t="s">
        <v>25</v>
      </c>
    </row>
    <row r="27" spans="1:11" x14ac:dyDescent="0.25">
      <c r="B27" t="s">
        <v>26</v>
      </c>
    </row>
    <row r="29" spans="1:11" x14ac:dyDescent="0.25">
      <c r="A29" s="6" t="s">
        <v>27</v>
      </c>
    </row>
    <row r="30" spans="1:11" x14ac:dyDescent="0.25">
      <c r="A30" t="s">
        <v>28</v>
      </c>
      <c r="B30" t="s">
        <v>29</v>
      </c>
      <c r="D30" t="s">
        <v>30</v>
      </c>
    </row>
    <row r="31" spans="1:11" x14ac:dyDescent="0.25">
      <c r="A31" t="s">
        <v>31</v>
      </c>
      <c r="B31" t="s">
        <v>32</v>
      </c>
      <c r="D31" t="s">
        <v>33</v>
      </c>
      <c r="F31" t="s">
        <v>34</v>
      </c>
    </row>
    <row r="32" spans="1:11" x14ac:dyDescent="0.25">
      <c r="A32" t="s">
        <v>35</v>
      </c>
      <c r="B32" t="s">
        <v>36</v>
      </c>
      <c r="D32" t="s">
        <v>37</v>
      </c>
    </row>
    <row r="34" spans="1:3" x14ac:dyDescent="0.25">
      <c r="A34" t="s">
        <v>38</v>
      </c>
      <c r="B34" t="s">
        <v>39</v>
      </c>
      <c r="C34" t="s">
        <v>40</v>
      </c>
    </row>
    <row r="35" spans="1:3" x14ac:dyDescent="0.25">
      <c r="A35" t="s">
        <v>41</v>
      </c>
      <c r="B35" t="s">
        <v>42</v>
      </c>
    </row>
  </sheetData>
  <mergeCells count="1">
    <mergeCell ref="G14:K1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sqref="A1:XFD1048576"/>
    </sheetView>
  </sheetViews>
  <sheetFormatPr defaultRowHeight="15" x14ac:dyDescent="0.25"/>
  <cols>
    <col min="1" max="1" width="15.140625" bestFit="1" customWidth="1"/>
    <col min="2" max="2" width="12.28515625" bestFit="1" customWidth="1"/>
    <col min="3" max="3" width="13.42578125" customWidth="1"/>
    <col min="4" max="5" width="12.28515625" bestFit="1" customWidth="1"/>
    <col min="7" max="7" width="12.28515625" bestFit="1" customWidth="1"/>
  </cols>
  <sheetData>
    <row r="2" spans="1:18" x14ac:dyDescent="0.25">
      <c r="A2" s="6" t="s">
        <v>213</v>
      </c>
    </row>
    <row r="4" spans="1:18" x14ac:dyDescent="0.25">
      <c r="A4" s="6" t="s">
        <v>214</v>
      </c>
    </row>
    <row r="5" spans="1:18" x14ac:dyDescent="0.25">
      <c r="G5" t="s">
        <v>215</v>
      </c>
    </row>
    <row r="6" spans="1:18" x14ac:dyDescent="0.25">
      <c r="A6" t="s">
        <v>216</v>
      </c>
      <c r="B6" s="35" t="s">
        <v>217</v>
      </c>
      <c r="C6" s="35" t="s">
        <v>218</v>
      </c>
      <c r="D6" s="35" t="s">
        <v>219</v>
      </c>
    </row>
    <row r="7" spans="1:18" x14ac:dyDescent="0.25">
      <c r="A7" t="s">
        <v>109</v>
      </c>
      <c r="B7" s="3">
        <v>300000</v>
      </c>
      <c r="C7" s="3">
        <v>80000</v>
      </c>
      <c r="D7" s="3">
        <v>120000</v>
      </c>
      <c r="E7" s="7">
        <f>SUM(B7:D7)</f>
        <v>500000</v>
      </c>
      <c r="G7" s="3">
        <v>50000</v>
      </c>
    </row>
    <row r="8" spans="1:18" x14ac:dyDescent="0.25">
      <c r="A8" t="s">
        <v>132</v>
      </c>
      <c r="B8" s="3">
        <v>-240000</v>
      </c>
      <c r="C8" s="3">
        <v>-40000</v>
      </c>
      <c r="D8" s="3">
        <v>-70000</v>
      </c>
      <c r="G8" s="3">
        <v>40000</v>
      </c>
      <c r="L8" t="s">
        <v>220</v>
      </c>
      <c r="M8" t="s">
        <v>221</v>
      </c>
    </row>
    <row r="9" spans="1:18" x14ac:dyDescent="0.25">
      <c r="A9" t="s">
        <v>192</v>
      </c>
      <c r="B9" s="7">
        <f>SUM(B7:B8)</f>
        <v>60000</v>
      </c>
      <c r="C9" s="7">
        <f t="shared" ref="C9:D9" si="0">SUM(C7:C8)</f>
        <v>40000</v>
      </c>
      <c r="D9" s="7">
        <f t="shared" si="0"/>
        <v>50000</v>
      </c>
      <c r="G9" s="3">
        <v>30000</v>
      </c>
    </row>
    <row r="10" spans="1:18" x14ac:dyDescent="0.25">
      <c r="A10" t="s">
        <v>141</v>
      </c>
      <c r="B10" s="18">
        <f>B9/B7</f>
        <v>0.2</v>
      </c>
      <c r="C10" s="18">
        <f t="shared" ref="C10:D10" si="1">C9/C7</f>
        <v>0.5</v>
      </c>
      <c r="D10" s="18">
        <f t="shared" si="1"/>
        <v>0.41666666666666669</v>
      </c>
      <c r="G10" s="3">
        <v>20000</v>
      </c>
    </row>
    <row r="11" spans="1:18" x14ac:dyDescent="0.25">
      <c r="A11" s="6" t="s">
        <v>222</v>
      </c>
      <c r="B11">
        <v>3</v>
      </c>
      <c r="C11">
        <v>1</v>
      </c>
      <c r="D11">
        <v>2</v>
      </c>
      <c r="G11" s="3">
        <v>10000</v>
      </c>
    </row>
    <row r="12" spans="1:18" x14ac:dyDescent="0.25">
      <c r="G12" s="3">
        <v>0</v>
      </c>
    </row>
    <row r="13" spans="1:18" x14ac:dyDescent="0.25">
      <c r="A13" s="6" t="s">
        <v>223</v>
      </c>
      <c r="G13" s="3">
        <v>-10000</v>
      </c>
      <c r="I13">
        <v>100000</v>
      </c>
      <c r="K13">
        <v>200000</v>
      </c>
      <c r="M13">
        <v>300000</v>
      </c>
      <c r="N13" s="25" t="s">
        <v>224</v>
      </c>
      <c r="O13">
        <v>400000</v>
      </c>
      <c r="Q13">
        <v>500000</v>
      </c>
      <c r="R13" t="s">
        <v>109</v>
      </c>
    </row>
    <row r="14" spans="1:18" x14ac:dyDescent="0.25">
      <c r="G14" s="3">
        <v>-20000</v>
      </c>
    </row>
    <row r="15" spans="1:18" x14ac:dyDescent="0.25">
      <c r="A15" s="13" t="s">
        <v>225</v>
      </c>
      <c r="B15" s="13" t="s">
        <v>226</v>
      </c>
      <c r="C15" s="36" t="s">
        <v>227</v>
      </c>
      <c r="D15" s="37" t="s">
        <v>207</v>
      </c>
      <c r="E15" s="13" t="s">
        <v>228</v>
      </c>
      <c r="G15" s="3">
        <v>-30000</v>
      </c>
      <c r="P15" t="s">
        <v>229</v>
      </c>
    </row>
    <row r="16" spans="1:18" x14ac:dyDescent="0.25">
      <c r="A16" s="3">
        <v>0</v>
      </c>
      <c r="B16" s="3">
        <v>0</v>
      </c>
      <c r="C16" s="3">
        <v>0</v>
      </c>
      <c r="D16" s="3">
        <v>-100000</v>
      </c>
      <c r="E16" s="7">
        <f>SUM(C16:D16)</f>
        <v>-100000</v>
      </c>
      <c r="G16" s="3">
        <v>-40000</v>
      </c>
    </row>
    <row r="17" spans="1:16" x14ac:dyDescent="0.25">
      <c r="A17" t="s">
        <v>218</v>
      </c>
      <c r="B17" s="7">
        <f>+C7</f>
        <v>80000</v>
      </c>
      <c r="C17" s="7">
        <f>+C9</f>
        <v>40000</v>
      </c>
      <c r="D17" s="7">
        <f>+D16</f>
        <v>-100000</v>
      </c>
      <c r="E17" s="7">
        <f>SUM(C17:D17)</f>
        <v>-60000</v>
      </c>
      <c r="G17" s="3">
        <v>-50000</v>
      </c>
      <c r="O17" t="s">
        <v>224</v>
      </c>
      <c r="P17" s="38">
        <v>335000</v>
      </c>
    </row>
    <row r="18" spans="1:16" x14ac:dyDescent="0.25">
      <c r="A18" t="s">
        <v>230</v>
      </c>
      <c r="B18" s="7">
        <f>+B17+D7</f>
        <v>200000</v>
      </c>
      <c r="C18" s="7">
        <f>+C9+D9</f>
        <v>90000</v>
      </c>
      <c r="D18" s="7">
        <f>+D17</f>
        <v>-100000</v>
      </c>
      <c r="E18" s="7">
        <f>SUM(C18:D18)</f>
        <v>-10000</v>
      </c>
      <c r="G18" s="3">
        <v>-60000</v>
      </c>
      <c r="L18" t="s">
        <v>231</v>
      </c>
      <c r="O18" t="s">
        <v>229</v>
      </c>
      <c r="P18" s="38">
        <v>165000</v>
      </c>
    </row>
    <row r="19" spans="1:16" x14ac:dyDescent="0.25">
      <c r="A19" t="s">
        <v>232</v>
      </c>
      <c r="B19" s="7">
        <f>+B18+B7</f>
        <v>500000</v>
      </c>
      <c r="C19" s="7">
        <f>+C18+B9</f>
        <v>150000</v>
      </c>
      <c r="D19" s="7">
        <f>+D18</f>
        <v>-100000</v>
      </c>
      <c r="E19" s="7">
        <f>SUM(C19:D19)</f>
        <v>50000</v>
      </c>
      <c r="G19" s="3">
        <v>-70000</v>
      </c>
    </row>
    <row r="20" spans="1:16" x14ac:dyDescent="0.25">
      <c r="G20" s="3">
        <v>-80000</v>
      </c>
    </row>
    <row r="21" spans="1:16" x14ac:dyDescent="0.25">
      <c r="G21" s="3">
        <v>-90000</v>
      </c>
    </row>
    <row r="22" spans="1:16" x14ac:dyDescent="0.25">
      <c r="G22" s="3">
        <v>-100000</v>
      </c>
    </row>
    <row r="26" spans="1:16" x14ac:dyDescent="0.25">
      <c r="A26" s="13" t="s">
        <v>233</v>
      </c>
    </row>
    <row r="28" spans="1:16" x14ac:dyDescent="0.25">
      <c r="A28" t="s">
        <v>224</v>
      </c>
      <c r="B28" s="5" t="s">
        <v>12</v>
      </c>
      <c r="C28" t="s">
        <v>234</v>
      </c>
    </row>
    <row r="30" spans="1:16" x14ac:dyDescent="0.25">
      <c r="B30" s="5" t="s">
        <v>12</v>
      </c>
      <c r="C30" t="s">
        <v>235</v>
      </c>
    </row>
    <row r="32" spans="1:16" ht="15.75" thickBot="1" x14ac:dyDescent="0.3">
      <c r="B32" s="5" t="s">
        <v>12</v>
      </c>
      <c r="C32" s="44">
        <f>100000/0.3</f>
        <v>333333.33333333337</v>
      </c>
    </row>
    <row r="33" spans="1:3" ht="15.75" thickTop="1" x14ac:dyDescent="0.25"/>
    <row r="35" spans="1:3" x14ac:dyDescent="0.25">
      <c r="A35" t="s">
        <v>236</v>
      </c>
      <c r="B35" s="5" t="s">
        <v>12</v>
      </c>
      <c r="C35" t="s">
        <v>237</v>
      </c>
    </row>
    <row r="36" spans="1:3" x14ac:dyDescent="0.25">
      <c r="C36" t="s">
        <v>238</v>
      </c>
    </row>
    <row r="37" spans="1:3" x14ac:dyDescent="0.25">
      <c r="C37" s="18">
        <f>150000/500000</f>
        <v>0.3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2"/>
  <sheetViews>
    <sheetView workbookViewId="0">
      <selection sqref="A1:XFD1048576"/>
    </sheetView>
  </sheetViews>
  <sheetFormatPr defaultRowHeight="15" x14ac:dyDescent="0.25"/>
  <cols>
    <col min="1" max="1" width="18.5703125" customWidth="1"/>
    <col min="2" max="2" width="13.28515625" customWidth="1"/>
    <col min="3" max="5" width="14" bestFit="1" customWidth="1"/>
    <col min="6" max="6" width="10.5703125" bestFit="1" customWidth="1"/>
    <col min="8" max="8" width="11.28515625" bestFit="1" customWidth="1"/>
    <col min="10" max="10" width="13.28515625" bestFit="1" customWidth="1"/>
  </cols>
  <sheetData>
    <row r="2" spans="1:17" x14ac:dyDescent="0.25">
      <c r="A2" s="6" t="s">
        <v>239</v>
      </c>
    </row>
    <row r="4" spans="1:17" x14ac:dyDescent="0.25">
      <c r="B4" s="37" t="s">
        <v>217</v>
      </c>
      <c r="C4" s="37" t="s">
        <v>218</v>
      </c>
      <c r="D4" s="37" t="s">
        <v>219</v>
      </c>
    </row>
    <row r="5" spans="1:17" ht="17.25" x14ac:dyDescent="0.4">
      <c r="A5" s="8" t="s">
        <v>189</v>
      </c>
      <c r="B5" s="23">
        <f>36000/6*1</f>
        <v>6000</v>
      </c>
      <c r="C5" s="23">
        <f>36000/6*2</f>
        <v>12000</v>
      </c>
      <c r="D5" s="23">
        <f>36000/6*3</f>
        <v>18000</v>
      </c>
      <c r="E5" s="7">
        <f>SUM(B5:D5)</f>
        <v>36000</v>
      </c>
    </row>
    <row r="6" spans="1:17" x14ac:dyDescent="0.25">
      <c r="A6" t="s">
        <v>240</v>
      </c>
      <c r="B6" s="3">
        <v>100</v>
      </c>
      <c r="C6" s="3">
        <v>160</v>
      </c>
      <c r="D6" s="3">
        <v>240</v>
      </c>
      <c r="H6" s="43" t="s">
        <v>187</v>
      </c>
    </row>
    <row r="7" spans="1:17" x14ac:dyDescent="0.25">
      <c r="A7" t="s">
        <v>241</v>
      </c>
      <c r="B7" s="3">
        <v>55</v>
      </c>
      <c r="C7" s="3">
        <v>100</v>
      </c>
      <c r="D7" s="3">
        <v>200</v>
      </c>
      <c r="H7" s="42">
        <v>300000</v>
      </c>
      <c r="L7" t="s">
        <v>221</v>
      </c>
    </row>
    <row r="8" spans="1:17" x14ac:dyDescent="0.25">
      <c r="A8" t="s">
        <v>242</v>
      </c>
      <c r="B8" s="3">
        <f>B5*B6</f>
        <v>600000</v>
      </c>
      <c r="C8" s="3">
        <f t="shared" ref="C8:D8" si="0">C5*C6</f>
        <v>1920000</v>
      </c>
      <c r="D8" s="3">
        <f t="shared" si="0"/>
        <v>4320000</v>
      </c>
      <c r="E8" s="7">
        <f>SUM(B8:D8)</f>
        <v>6840000</v>
      </c>
      <c r="H8" s="42">
        <v>200000</v>
      </c>
    </row>
    <row r="9" spans="1:17" x14ac:dyDescent="0.25">
      <c r="A9" t="s">
        <v>50</v>
      </c>
      <c r="B9" s="7">
        <f>-B5*B7</f>
        <v>-330000</v>
      </c>
      <c r="C9" s="7">
        <f t="shared" ref="C9:D9" si="1">-C5*C7</f>
        <v>-1200000</v>
      </c>
      <c r="D9" s="7">
        <f t="shared" si="1"/>
        <v>-3600000</v>
      </c>
      <c r="H9" s="42">
        <v>100000</v>
      </c>
    </row>
    <row r="10" spans="1:17" x14ac:dyDescent="0.25">
      <c r="A10" t="s">
        <v>192</v>
      </c>
      <c r="B10" s="7">
        <f>SUM(B8:B9)</f>
        <v>270000</v>
      </c>
      <c r="C10" s="7">
        <f>SUM(C8:C9)</f>
        <v>720000</v>
      </c>
      <c r="D10" s="7">
        <f>SUM(D8:D9)</f>
        <v>720000</v>
      </c>
      <c r="H10" s="42">
        <v>0</v>
      </c>
    </row>
    <row r="11" spans="1:17" x14ac:dyDescent="0.25">
      <c r="A11" t="s">
        <v>141</v>
      </c>
      <c r="B11" s="18">
        <f>B10/B8</f>
        <v>0.45</v>
      </c>
      <c r="C11" s="18">
        <f t="shared" ref="C11:D11" si="2">C10/C8</f>
        <v>0.375</v>
      </c>
      <c r="D11" s="18">
        <f t="shared" si="2"/>
        <v>0.16666666666666666</v>
      </c>
      <c r="H11" s="42">
        <v>-100000</v>
      </c>
      <c r="I11">
        <v>1000000</v>
      </c>
      <c r="J11">
        <v>2000000</v>
      </c>
      <c r="K11">
        <v>3000000</v>
      </c>
      <c r="L11">
        <v>4000000</v>
      </c>
      <c r="M11">
        <v>5000000</v>
      </c>
      <c r="N11">
        <v>6000000</v>
      </c>
      <c r="O11">
        <v>7000000</v>
      </c>
      <c r="Q11" s="6" t="s">
        <v>109</v>
      </c>
    </row>
    <row r="12" spans="1:17" x14ac:dyDescent="0.25">
      <c r="A12" s="40" t="s">
        <v>243</v>
      </c>
      <c r="B12" s="40">
        <v>1</v>
      </c>
      <c r="C12" s="40">
        <v>2</v>
      </c>
      <c r="D12" s="40">
        <v>3</v>
      </c>
      <c r="H12" s="42">
        <v>-200000</v>
      </c>
      <c r="N12" t="s">
        <v>224</v>
      </c>
    </row>
    <row r="13" spans="1:17" x14ac:dyDescent="0.25">
      <c r="H13" s="42">
        <v>-300000</v>
      </c>
      <c r="O13" t="s">
        <v>229</v>
      </c>
    </row>
    <row r="14" spans="1:17" x14ac:dyDescent="0.25">
      <c r="A14" s="13" t="s">
        <v>244</v>
      </c>
      <c r="B14" s="37" t="s">
        <v>245</v>
      </c>
      <c r="C14" s="37" t="s">
        <v>246</v>
      </c>
      <c r="D14" s="37" t="s">
        <v>207</v>
      </c>
      <c r="E14" s="37" t="s">
        <v>247</v>
      </c>
      <c r="H14" s="42">
        <v>-400000</v>
      </c>
    </row>
    <row r="15" spans="1:17" x14ac:dyDescent="0.25">
      <c r="A15" s="3">
        <v>0</v>
      </c>
      <c r="B15" s="3">
        <v>0</v>
      </c>
      <c r="C15" s="3">
        <v>0</v>
      </c>
      <c r="D15" s="3">
        <v>-1500000</v>
      </c>
      <c r="E15" s="3">
        <f>SUM(C15:D15)</f>
        <v>-1500000</v>
      </c>
      <c r="H15" s="42">
        <v>-500000</v>
      </c>
      <c r="O15" t="s">
        <v>224</v>
      </c>
      <c r="P15">
        <v>5400000</v>
      </c>
    </row>
    <row r="16" spans="1:17" x14ac:dyDescent="0.25">
      <c r="A16" t="s">
        <v>217</v>
      </c>
      <c r="B16" s="7">
        <f>+B8</f>
        <v>600000</v>
      </c>
      <c r="C16" s="7">
        <f>+B10</f>
        <v>270000</v>
      </c>
      <c r="D16" s="7">
        <f>+D15</f>
        <v>-1500000</v>
      </c>
      <c r="E16" s="7">
        <f>SUM(C16:D16)</f>
        <v>-1230000</v>
      </c>
      <c r="H16" s="42">
        <v>-600000</v>
      </c>
      <c r="O16" t="s">
        <v>229</v>
      </c>
      <c r="P16">
        <v>1440000</v>
      </c>
    </row>
    <row r="17" spans="1:13" x14ac:dyDescent="0.25">
      <c r="A17" t="s">
        <v>248</v>
      </c>
      <c r="B17" s="7">
        <f>+B16+C8</f>
        <v>2520000</v>
      </c>
      <c r="C17" s="7">
        <f>+C16+C10</f>
        <v>990000</v>
      </c>
      <c r="D17" s="7">
        <f>+D16</f>
        <v>-1500000</v>
      </c>
      <c r="E17" s="7">
        <f>SUM(C17:D17)</f>
        <v>-510000</v>
      </c>
      <c r="H17" s="42">
        <v>-700000</v>
      </c>
      <c r="M17" t="s">
        <v>249</v>
      </c>
    </row>
    <row r="18" spans="1:13" x14ac:dyDescent="0.25">
      <c r="A18" t="s">
        <v>250</v>
      </c>
      <c r="B18" s="7">
        <f>+B17+D8</f>
        <v>6840000</v>
      </c>
      <c r="C18" s="7">
        <f>+C17+D10</f>
        <v>1710000</v>
      </c>
      <c r="D18" s="7">
        <f>+D17</f>
        <v>-1500000</v>
      </c>
      <c r="E18" s="7">
        <f>SUM(C18:D18)</f>
        <v>210000</v>
      </c>
      <c r="H18" s="42">
        <v>-800000</v>
      </c>
    </row>
    <row r="19" spans="1:13" x14ac:dyDescent="0.25">
      <c r="H19" s="42">
        <v>-900000</v>
      </c>
    </row>
    <row r="20" spans="1:13" x14ac:dyDescent="0.25">
      <c r="A20" t="s">
        <v>251</v>
      </c>
      <c r="B20" s="18">
        <f>C18/B18</f>
        <v>0.25</v>
      </c>
      <c r="C20" t="s">
        <v>252</v>
      </c>
      <c r="H20" s="42">
        <v>-1000000</v>
      </c>
    </row>
    <row r="21" spans="1:13" x14ac:dyDescent="0.25">
      <c r="H21" s="42">
        <v>-1100000</v>
      </c>
    </row>
    <row r="22" spans="1:13" x14ac:dyDescent="0.25">
      <c r="H22" s="42">
        <v>-1200000</v>
      </c>
    </row>
    <row r="23" spans="1:13" x14ac:dyDescent="0.25">
      <c r="H23" s="42">
        <v>-1300000</v>
      </c>
    </row>
    <row r="24" spans="1:13" x14ac:dyDescent="0.25">
      <c r="H24" s="42">
        <v>-1400000</v>
      </c>
    </row>
    <row r="25" spans="1:13" x14ac:dyDescent="0.25">
      <c r="H25" s="42">
        <v>-1500000</v>
      </c>
    </row>
    <row r="26" spans="1:13" x14ac:dyDescent="0.25">
      <c r="H26" s="42"/>
    </row>
    <row r="28" spans="1:13" x14ac:dyDescent="0.25">
      <c r="A28" t="s">
        <v>253</v>
      </c>
    </row>
    <row r="29" spans="1:13" x14ac:dyDescent="0.25">
      <c r="A29" t="s">
        <v>254</v>
      </c>
      <c r="B29" t="s">
        <v>255</v>
      </c>
      <c r="C29" s="7">
        <f>B18*0.2</f>
        <v>1368000</v>
      </c>
    </row>
    <row r="30" spans="1:13" x14ac:dyDescent="0.25">
      <c r="A30" t="s">
        <v>256</v>
      </c>
      <c r="B30" t="s">
        <v>257</v>
      </c>
      <c r="C30" s="3">
        <f>+C29*0.25</f>
        <v>342000</v>
      </c>
    </row>
    <row r="31" spans="1:13" x14ac:dyDescent="0.25">
      <c r="A31" t="s">
        <v>258</v>
      </c>
      <c r="C31" s="7">
        <f>+C30</f>
        <v>342000</v>
      </c>
    </row>
    <row r="35" spans="1:3" x14ac:dyDescent="0.25">
      <c r="A35" s="13" t="s">
        <v>259</v>
      </c>
    </row>
    <row r="37" spans="1:3" x14ac:dyDescent="0.25">
      <c r="A37" t="s">
        <v>224</v>
      </c>
      <c r="B37" s="5" t="s">
        <v>12</v>
      </c>
      <c r="C37" t="s">
        <v>234</v>
      </c>
    </row>
    <row r="39" spans="1:3" x14ac:dyDescent="0.25">
      <c r="B39" s="5" t="s">
        <v>12</v>
      </c>
      <c r="C39" t="s">
        <v>260</v>
      </c>
    </row>
    <row r="41" spans="1:3" ht="15.75" thickBot="1" x14ac:dyDescent="0.3">
      <c r="B41" s="5" t="s">
        <v>12</v>
      </c>
      <c r="C41" s="44">
        <f>1500000/0.25</f>
        <v>6000000</v>
      </c>
    </row>
    <row r="42" spans="1:3" ht="15.75" thickTop="1" x14ac:dyDescent="0.25"/>
    <row r="44" spans="1:3" x14ac:dyDescent="0.25">
      <c r="A44" t="s">
        <v>236</v>
      </c>
      <c r="B44" s="5" t="s">
        <v>12</v>
      </c>
      <c r="C44" t="s">
        <v>237</v>
      </c>
    </row>
    <row r="45" spans="1:3" x14ac:dyDescent="0.25">
      <c r="C45" t="s">
        <v>261</v>
      </c>
    </row>
    <row r="46" spans="1:3" x14ac:dyDescent="0.25">
      <c r="C46" s="18">
        <v>0.25</v>
      </c>
    </row>
    <row r="49" spans="1:10" x14ac:dyDescent="0.25">
      <c r="A49" t="s">
        <v>262</v>
      </c>
      <c r="B49" s="5" t="s">
        <v>12</v>
      </c>
      <c r="C49" s="39" t="s">
        <v>263</v>
      </c>
      <c r="D49" t="s">
        <v>264</v>
      </c>
    </row>
    <row r="50" spans="1:10" x14ac:dyDescent="0.25">
      <c r="C50" t="s">
        <v>265</v>
      </c>
    </row>
    <row r="52" spans="1:10" x14ac:dyDescent="0.25">
      <c r="C52" s="45">
        <f>+E5</f>
        <v>36000</v>
      </c>
      <c r="D52" t="s">
        <v>266</v>
      </c>
    </row>
    <row r="53" spans="1:10" x14ac:dyDescent="0.25">
      <c r="C53" s="7">
        <f>+E8</f>
        <v>6840000</v>
      </c>
    </row>
    <row r="55" spans="1:10" ht="17.25" x14ac:dyDescent="0.4">
      <c r="C55" s="20">
        <f>C52/C53*6000000</f>
        <v>31578.947368421053</v>
      </c>
      <c r="D55" t="s">
        <v>267</v>
      </c>
    </row>
    <row r="57" spans="1:10" x14ac:dyDescent="0.25">
      <c r="C57" s="11" t="s">
        <v>268</v>
      </c>
      <c r="D57" s="11" t="s">
        <v>145</v>
      </c>
    </row>
    <row r="58" spans="1:10" x14ac:dyDescent="0.25">
      <c r="B58" t="s">
        <v>217</v>
      </c>
      <c r="C58">
        <v>1</v>
      </c>
      <c r="D58" s="3">
        <f>D61/C61*C58</f>
        <v>5263.1578947368425</v>
      </c>
    </row>
    <row r="59" spans="1:10" x14ac:dyDescent="0.25">
      <c r="B59" t="s">
        <v>218</v>
      </c>
      <c r="C59">
        <v>2</v>
      </c>
      <c r="D59" s="3">
        <f>+D61/C61*C59</f>
        <v>10526.315789473685</v>
      </c>
    </row>
    <row r="60" spans="1:10" x14ac:dyDescent="0.25">
      <c r="B60" t="s">
        <v>219</v>
      </c>
      <c r="C60">
        <v>3</v>
      </c>
      <c r="D60" s="3">
        <f>+D61/C61*C60</f>
        <v>15789.473684210527</v>
      </c>
    </row>
    <row r="61" spans="1:10" ht="15.75" thickBot="1" x14ac:dyDescent="0.3">
      <c r="C61" s="29">
        <f>SUM(C58:C60)</f>
        <v>6</v>
      </c>
      <c r="D61" s="9">
        <f>+C55</f>
        <v>31578.947368421053</v>
      </c>
    </row>
    <row r="62" spans="1:10" ht="15.75" thickTop="1" x14ac:dyDescent="0.25"/>
    <row r="64" spans="1:10" x14ac:dyDescent="0.25">
      <c r="A64" s="13" t="s">
        <v>269</v>
      </c>
      <c r="B64" s="13" t="s">
        <v>270</v>
      </c>
      <c r="C64" s="13" t="s">
        <v>271</v>
      </c>
      <c r="D64" s="13" t="s">
        <v>270</v>
      </c>
      <c r="E64" s="13" t="s">
        <v>240</v>
      </c>
      <c r="F64" s="37" t="s">
        <v>272</v>
      </c>
      <c r="J64" s="3"/>
    </row>
    <row r="65" spans="1:10" x14ac:dyDescent="0.25">
      <c r="A65" t="s">
        <v>217</v>
      </c>
      <c r="B65" s="3">
        <v>6000000</v>
      </c>
      <c r="C65" t="s">
        <v>273</v>
      </c>
      <c r="D65" s="3">
        <f>B65/6840*600</f>
        <v>526315.78947368427</v>
      </c>
      <c r="E65" s="3">
        <v>100</v>
      </c>
      <c r="F65" s="7">
        <f>D65/E65</f>
        <v>5263.1578947368425</v>
      </c>
      <c r="H65" s="46" t="s">
        <v>274</v>
      </c>
      <c r="I65" s="46"/>
      <c r="J65" s="47">
        <v>1000000</v>
      </c>
    </row>
    <row r="66" spans="1:10" x14ac:dyDescent="0.25">
      <c r="A66" t="s">
        <v>218</v>
      </c>
      <c r="B66" s="3">
        <v>6000000</v>
      </c>
      <c r="C66" t="s">
        <v>275</v>
      </c>
      <c r="D66" s="3">
        <f>+B66/6840*1920</f>
        <v>1684210.5263157894</v>
      </c>
      <c r="E66" s="3">
        <v>160</v>
      </c>
      <c r="F66" s="7">
        <f t="shared" ref="F66:F67" si="3">D66/E66</f>
        <v>10526.315789473683</v>
      </c>
      <c r="H66" s="46" t="s">
        <v>276</v>
      </c>
      <c r="I66" s="46"/>
      <c r="J66" s="47">
        <v>2000000</v>
      </c>
    </row>
    <row r="67" spans="1:10" x14ac:dyDescent="0.25">
      <c r="A67" t="s">
        <v>219</v>
      </c>
      <c r="B67" s="3">
        <v>6000000</v>
      </c>
      <c r="C67" t="s">
        <v>277</v>
      </c>
      <c r="D67" s="3">
        <f>+B67/6840*4320</f>
        <v>3789473.6842105263</v>
      </c>
      <c r="E67" s="3">
        <v>240</v>
      </c>
      <c r="F67" s="7">
        <f t="shared" si="3"/>
        <v>15789.473684210527</v>
      </c>
      <c r="H67" s="46" t="s">
        <v>278</v>
      </c>
      <c r="I67" s="46"/>
      <c r="J67" s="47">
        <v>3000000</v>
      </c>
    </row>
    <row r="68" spans="1:10" ht="15.75" thickBot="1" x14ac:dyDescent="0.3">
      <c r="D68" s="7">
        <f>SUM(D65:D67)</f>
        <v>6000000</v>
      </c>
      <c r="F68" s="9">
        <f>SUM(F65:F67)</f>
        <v>31578.947368421053</v>
      </c>
    </row>
    <row r="69" spans="1:10" ht="15.75" thickTop="1" x14ac:dyDescent="0.25"/>
    <row r="70" spans="1:10" x14ac:dyDescent="0.25">
      <c r="A70" s="13" t="s">
        <v>279</v>
      </c>
    </row>
    <row r="71" spans="1:10" x14ac:dyDescent="0.25">
      <c r="B71" s="43" t="s">
        <v>263</v>
      </c>
      <c r="C71" s="43" t="s">
        <v>272</v>
      </c>
      <c r="D71" s="43" t="s">
        <v>280</v>
      </c>
    </row>
    <row r="72" spans="1:10" x14ac:dyDescent="0.25">
      <c r="A72" t="s">
        <v>217</v>
      </c>
      <c r="B72" s="3">
        <v>6000</v>
      </c>
      <c r="C72" s="7">
        <f>+F65</f>
        <v>5263.1578947368425</v>
      </c>
      <c r="D72" s="7">
        <f>B72-C72</f>
        <v>736.84210526315746</v>
      </c>
    </row>
    <row r="73" spans="1:10" x14ac:dyDescent="0.25">
      <c r="A73" t="s">
        <v>218</v>
      </c>
      <c r="B73" s="3">
        <v>12000</v>
      </c>
      <c r="C73" s="7">
        <f t="shared" ref="C73:C74" si="4">+F66</f>
        <v>10526.315789473683</v>
      </c>
      <c r="D73" s="7">
        <f t="shared" ref="D73:D74" si="5">B73-C73</f>
        <v>1473.6842105263167</v>
      </c>
    </row>
    <row r="74" spans="1:10" x14ac:dyDescent="0.25">
      <c r="A74" t="s">
        <v>219</v>
      </c>
      <c r="B74" s="3">
        <v>18000</v>
      </c>
      <c r="C74" s="7">
        <f t="shared" si="4"/>
        <v>15789.473684210527</v>
      </c>
      <c r="D74" s="7">
        <f t="shared" si="5"/>
        <v>2210.5263157894733</v>
      </c>
    </row>
    <row r="75" spans="1:10" ht="15.75" thickBot="1" x14ac:dyDescent="0.3">
      <c r="D75" s="9">
        <f>SUM(D72:D74)</f>
        <v>4421.0526315789475</v>
      </c>
    </row>
    <row r="76" spans="1:10" ht="15.75" thickTop="1" x14ac:dyDescent="0.25">
      <c r="D76" s="7"/>
    </row>
    <row r="77" spans="1:10" x14ac:dyDescent="0.25">
      <c r="B77" s="13" t="s">
        <v>281</v>
      </c>
      <c r="C77" s="13" t="s">
        <v>271</v>
      </c>
      <c r="D77" s="13" t="s">
        <v>282</v>
      </c>
      <c r="E77" s="13" t="s">
        <v>283</v>
      </c>
      <c r="F77" s="13" t="s">
        <v>280</v>
      </c>
    </row>
    <row r="78" spans="1:10" x14ac:dyDescent="0.25">
      <c r="A78" t="s">
        <v>217</v>
      </c>
      <c r="B78" s="3">
        <f>6840000-6000000</f>
        <v>840000</v>
      </c>
      <c r="C78" t="s">
        <v>273</v>
      </c>
      <c r="D78" s="3">
        <f>B78/6840*600</f>
        <v>73684.210526315786</v>
      </c>
      <c r="E78" s="7">
        <f>+E65</f>
        <v>100</v>
      </c>
      <c r="F78" s="3">
        <f>D78/E78</f>
        <v>736.84210526315792</v>
      </c>
    </row>
    <row r="79" spans="1:10" x14ac:dyDescent="0.25">
      <c r="A79" t="s">
        <v>218</v>
      </c>
      <c r="B79" s="3">
        <f t="shared" ref="B79:B80" si="6">6840000-6000000</f>
        <v>840000</v>
      </c>
      <c r="C79" t="s">
        <v>275</v>
      </c>
      <c r="D79" s="3">
        <f>840000/6840*1920</f>
        <v>235789.4736842105</v>
      </c>
      <c r="E79" s="7">
        <f t="shared" ref="E79:E80" si="7">+E66</f>
        <v>160</v>
      </c>
      <c r="F79" s="3">
        <f t="shared" ref="F79:F80" si="8">D79/E79</f>
        <v>1473.6842105263156</v>
      </c>
    </row>
    <row r="80" spans="1:10" x14ac:dyDescent="0.25">
      <c r="A80" t="s">
        <v>219</v>
      </c>
      <c r="B80" s="3">
        <f t="shared" si="6"/>
        <v>840000</v>
      </c>
      <c r="C80" t="s">
        <v>277</v>
      </c>
      <c r="D80" s="3">
        <f>+B80/6840*4320</f>
        <v>530526.31578947371</v>
      </c>
      <c r="E80" s="7">
        <f t="shared" si="7"/>
        <v>240</v>
      </c>
      <c r="F80" s="3">
        <f t="shared" si="8"/>
        <v>2210.5263157894738</v>
      </c>
    </row>
    <row r="81" spans="6:6" ht="15.75" thickBot="1" x14ac:dyDescent="0.3">
      <c r="F81" s="9">
        <f>SUM(F78:F80)</f>
        <v>4421.0526315789466</v>
      </c>
    </row>
    <row r="82" spans="6:6" ht="15.75" thickTop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workbookViewId="0">
      <selection sqref="A1:XFD1048576"/>
    </sheetView>
  </sheetViews>
  <sheetFormatPr defaultRowHeight="15" x14ac:dyDescent="0.25"/>
  <cols>
    <col min="1" max="1" width="14" customWidth="1"/>
    <col min="2" max="2" width="14.42578125" customWidth="1"/>
    <col min="3" max="4" width="14.28515625" bestFit="1" customWidth="1"/>
    <col min="6" max="6" width="11.5703125" bestFit="1" customWidth="1"/>
    <col min="8" max="8" width="14.5703125" customWidth="1"/>
  </cols>
  <sheetData>
    <row r="2" spans="1:12" x14ac:dyDescent="0.25">
      <c r="A2" s="6" t="s">
        <v>284</v>
      </c>
    </row>
    <row r="4" spans="1:12" x14ac:dyDescent="0.25">
      <c r="A4" t="s">
        <v>270</v>
      </c>
      <c r="B4" s="5" t="s">
        <v>12</v>
      </c>
      <c r="C4" t="s">
        <v>285</v>
      </c>
    </row>
    <row r="6" spans="1:12" x14ac:dyDescent="0.25">
      <c r="B6" s="5" t="s">
        <v>12</v>
      </c>
      <c r="C6" t="s">
        <v>286</v>
      </c>
    </row>
    <row r="7" spans="1:12" ht="15.75" thickBot="1" x14ac:dyDescent="0.3">
      <c r="C7" s="44">
        <f>5400000/C12</f>
        <v>19440000</v>
      </c>
    </row>
    <row r="8" spans="1:12" ht="15.75" thickTop="1" x14ac:dyDescent="0.25"/>
    <row r="10" spans="1:12" x14ac:dyDescent="0.25">
      <c r="A10" t="s">
        <v>251</v>
      </c>
      <c r="B10" s="5" t="s">
        <v>12</v>
      </c>
      <c r="C10" t="s">
        <v>287</v>
      </c>
      <c r="I10" t="s">
        <v>81</v>
      </c>
      <c r="J10" t="s">
        <v>84</v>
      </c>
      <c r="K10" t="s">
        <v>88</v>
      </c>
    </row>
    <row r="11" spans="1:12" x14ac:dyDescent="0.25">
      <c r="C11" t="s">
        <v>288</v>
      </c>
      <c r="H11" t="s">
        <v>240</v>
      </c>
      <c r="I11">
        <v>50</v>
      </c>
      <c r="J11">
        <v>50</v>
      </c>
      <c r="K11">
        <v>85</v>
      </c>
    </row>
    <row r="12" spans="1:12" ht="15.75" thickBot="1" x14ac:dyDescent="0.3">
      <c r="C12" s="48">
        <f>75/270</f>
        <v>0.27777777777777779</v>
      </c>
      <c r="H12" t="s">
        <v>241</v>
      </c>
      <c r="I12">
        <v>-30</v>
      </c>
      <c r="J12">
        <v>-45</v>
      </c>
      <c r="K12">
        <v>-60</v>
      </c>
    </row>
    <row r="13" spans="1:12" ht="15.75" thickTop="1" x14ac:dyDescent="0.25">
      <c r="H13" t="s">
        <v>289</v>
      </c>
      <c r="I13">
        <f>SUM(I11:I12)</f>
        <v>20</v>
      </c>
      <c r="J13">
        <f t="shared" ref="J13:K13" si="0">SUM(J11:J12)</f>
        <v>5</v>
      </c>
      <c r="K13">
        <f t="shared" si="0"/>
        <v>25</v>
      </c>
    </row>
    <row r="14" spans="1:12" x14ac:dyDescent="0.25">
      <c r="H14" t="s">
        <v>290</v>
      </c>
      <c r="I14">
        <v>1</v>
      </c>
      <c r="J14">
        <v>1</v>
      </c>
      <c r="K14">
        <v>2</v>
      </c>
    </row>
    <row r="15" spans="1:12" x14ac:dyDescent="0.25">
      <c r="H15" t="s">
        <v>291</v>
      </c>
      <c r="I15" s="3">
        <f>I13*I14</f>
        <v>20</v>
      </c>
      <c r="J15" s="3">
        <f t="shared" ref="J15:K15" si="1">J13*J14</f>
        <v>5</v>
      </c>
      <c r="K15" s="3">
        <f t="shared" si="1"/>
        <v>50</v>
      </c>
      <c r="L15" s="7">
        <f>SUM(I15:K15)</f>
        <v>75</v>
      </c>
    </row>
    <row r="16" spans="1:12" x14ac:dyDescent="0.25">
      <c r="H16" t="s">
        <v>226</v>
      </c>
      <c r="I16" s="3">
        <f>+I11*I14</f>
        <v>50</v>
      </c>
      <c r="J16" s="3">
        <f t="shared" ref="J16:K16" si="2">+J11*J14</f>
        <v>50</v>
      </c>
      <c r="K16" s="3">
        <f t="shared" si="2"/>
        <v>170</v>
      </c>
      <c r="L16" s="7">
        <f>SUM(I16:K16)</f>
        <v>270</v>
      </c>
    </row>
    <row r="17" spans="1:6" x14ac:dyDescent="0.25">
      <c r="B17" s="13" t="s">
        <v>292</v>
      </c>
      <c r="C17" s="13" t="s">
        <v>271</v>
      </c>
      <c r="D17" s="13" t="s">
        <v>270</v>
      </c>
      <c r="E17" s="13" t="s">
        <v>283</v>
      </c>
      <c r="F17" s="13" t="s">
        <v>145</v>
      </c>
    </row>
    <row r="18" spans="1:6" x14ac:dyDescent="0.25">
      <c r="A18" t="s">
        <v>81</v>
      </c>
      <c r="B18" s="38">
        <v>19440000</v>
      </c>
      <c r="C18" t="s">
        <v>293</v>
      </c>
      <c r="D18" s="3">
        <f>B18*50/270</f>
        <v>3600000</v>
      </c>
      <c r="E18">
        <f>+I11</f>
        <v>50</v>
      </c>
      <c r="F18" s="7">
        <f>D18/E18</f>
        <v>72000</v>
      </c>
    </row>
    <row r="19" spans="1:6" x14ac:dyDescent="0.25">
      <c r="A19" t="s">
        <v>84</v>
      </c>
      <c r="B19" s="38">
        <v>19440000</v>
      </c>
      <c r="C19" t="s">
        <v>293</v>
      </c>
      <c r="D19" s="3">
        <f>+B19*50/270</f>
        <v>3600000</v>
      </c>
      <c r="E19">
        <f>+J11</f>
        <v>50</v>
      </c>
      <c r="F19" s="7">
        <f t="shared" ref="F19:F20" si="3">D19/E19</f>
        <v>72000</v>
      </c>
    </row>
    <row r="20" spans="1:6" x14ac:dyDescent="0.25">
      <c r="A20" t="s">
        <v>88</v>
      </c>
      <c r="B20" s="38">
        <v>19440000</v>
      </c>
      <c r="C20" t="s">
        <v>294</v>
      </c>
      <c r="D20" s="3">
        <f>+B20*170/270</f>
        <v>12240000</v>
      </c>
      <c r="E20">
        <f>+K11</f>
        <v>85</v>
      </c>
      <c r="F20" s="7">
        <f t="shared" si="3"/>
        <v>144000</v>
      </c>
    </row>
    <row r="21" spans="1:6" x14ac:dyDescent="0.25">
      <c r="F21" s="7">
        <f>SUM(F18:F20)</f>
        <v>288000</v>
      </c>
    </row>
    <row r="23" spans="1:6" x14ac:dyDescent="0.25">
      <c r="A23" s="6" t="s">
        <v>295</v>
      </c>
    </row>
    <row r="24" spans="1:6" x14ac:dyDescent="0.25">
      <c r="B24" s="41" t="s">
        <v>296</v>
      </c>
      <c r="C24" s="41" t="s">
        <v>297</v>
      </c>
      <c r="D24" s="41" t="s">
        <v>229</v>
      </c>
    </row>
    <row r="25" spans="1:6" x14ac:dyDescent="0.25">
      <c r="A25" t="s">
        <v>81</v>
      </c>
      <c r="B25" s="3">
        <v>100000</v>
      </c>
      <c r="C25" s="7">
        <f>+F18</f>
        <v>72000</v>
      </c>
      <c r="D25" s="7">
        <f>B25-C25</f>
        <v>28000</v>
      </c>
    </row>
    <row r="26" spans="1:6" x14ac:dyDescent="0.25">
      <c r="A26" t="s">
        <v>84</v>
      </c>
      <c r="B26" s="3">
        <v>100000</v>
      </c>
      <c r="C26" s="7">
        <f t="shared" ref="C26:C27" si="4">+F19</f>
        <v>72000</v>
      </c>
      <c r="D26" s="7">
        <f>B26-C26</f>
        <v>28000</v>
      </c>
    </row>
    <row r="27" spans="1:6" x14ac:dyDescent="0.25">
      <c r="A27" t="s">
        <v>88</v>
      </c>
      <c r="B27" s="3">
        <v>200000</v>
      </c>
      <c r="C27" s="7">
        <f t="shared" si="4"/>
        <v>144000</v>
      </c>
      <c r="D27" s="7">
        <f>B27-C27</f>
        <v>56000</v>
      </c>
    </row>
    <row r="28" spans="1:6" ht="15.75" thickBot="1" x14ac:dyDescent="0.3">
      <c r="B28" s="9">
        <f>SUM(B25:B27)</f>
        <v>400000</v>
      </c>
      <c r="D28" s="9">
        <f>SUM(D25:D27)</f>
        <v>112000</v>
      </c>
    </row>
    <row r="29" spans="1:6" ht="15.75" thickTop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sqref="A1:XFD1048576"/>
    </sheetView>
  </sheetViews>
  <sheetFormatPr defaultRowHeight="15" x14ac:dyDescent="0.25"/>
  <sheetData>
    <row r="2" spans="1:1" x14ac:dyDescent="0.25">
      <c r="A2" s="6" t="s">
        <v>298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workbookViewId="0">
      <selection sqref="A1:XFD1048576"/>
    </sheetView>
  </sheetViews>
  <sheetFormatPr defaultRowHeight="15" x14ac:dyDescent="0.25"/>
  <cols>
    <col min="1" max="1" width="31.5703125" customWidth="1"/>
    <col min="2" max="2" width="9.5703125" bestFit="1" customWidth="1"/>
    <col min="3" max="3" width="12.28515625" bestFit="1" customWidth="1"/>
    <col min="4" max="4" width="10.5703125" bestFit="1" customWidth="1"/>
    <col min="5" max="5" width="11.28515625" bestFit="1" customWidth="1"/>
  </cols>
  <sheetData>
    <row r="2" spans="1:8" x14ac:dyDescent="0.25">
      <c r="A2" s="6" t="s">
        <v>299</v>
      </c>
    </row>
    <row r="3" spans="1:8" x14ac:dyDescent="0.25">
      <c r="A3" s="6"/>
    </row>
    <row r="4" spans="1:8" x14ac:dyDescent="0.25">
      <c r="A4" t="s">
        <v>140</v>
      </c>
    </row>
    <row r="5" spans="1:8" x14ac:dyDescent="0.25">
      <c r="A5" s="6" t="s">
        <v>300</v>
      </c>
    </row>
    <row r="7" spans="1:8" ht="30" x14ac:dyDescent="0.25">
      <c r="A7" s="6" t="s">
        <v>216</v>
      </c>
      <c r="B7" s="43" t="s">
        <v>301</v>
      </c>
      <c r="C7" s="50" t="s">
        <v>302</v>
      </c>
      <c r="D7" s="43"/>
      <c r="E7" s="43" t="s">
        <v>303</v>
      </c>
    </row>
    <row r="8" spans="1:8" x14ac:dyDescent="0.25">
      <c r="A8" t="s">
        <v>304</v>
      </c>
      <c r="B8" s="3">
        <v>3000</v>
      </c>
      <c r="C8" s="3">
        <f>10/5</f>
        <v>2</v>
      </c>
      <c r="D8" s="49" t="s">
        <v>305</v>
      </c>
      <c r="E8" s="3">
        <f>B8*C8</f>
        <v>6000</v>
      </c>
    </row>
    <row r="9" spans="1:8" x14ac:dyDescent="0.25">
      <c r="A9" t="s">
        <v>306</v>
      </c>
      <c r="B9" s="3">
        <v>5000</v>
      </c>
      <c r="C9" s="3">
        <f>15/5</f>
        <v>3</v>
      </c>
      <c r="D9" t="s">
        <v>307</v>
      </c>
      <c r="E9" s="15">
        <f>B9*C9</f>
        <v>15000</v>
      </c>
    </row>
    <row r="10" spans="1:8" x14ac:dyDescent="0.25">
      <c r="A10" t="s">
        <v>308</v>
      </c>
      <c r="E10" s="7">
        <f>SUM(E8:E9)</f>
        <v>21000</v>
      </c>
    </row>
    <row r="11" spans="1:8" x14ac:dyDescent="0.25">
      <c r="A11" t="s">
        <v>309</v>
      </c>
      <c r="E11" s="3">
        <v>-18000</v>
      </c>
    </row>
    <row r="12" spans="1:8" ht="15.75" thickBot="1" x14ac:dyDescent="0.3">
      <c r="A12" s="52" t="s">
        <v>310</v>
      </c>
      <c r="B12" s="52"/>
      <c r="C12" s="52"/>
      <c r="D12" s="52"/>
      <c r="E12" s="53">
        <f>SUM(E10:E11)</f>
        <v>3000</v>
      </c>
    </row>
    <row r="13" spans="1:8" ht="15.75" thickTop="1" x14ac:dyDescent="0.25"/>
    <row r="14" spans="1:8" x14ac:dyDescent="0.25">
      <c r="A14" s="6" t="s">
        <v>311</v>
      </c>
    </row>
    <row r="16" spans="1:8" x14ac:dyDescent="0.25">
      <c r="C16" s="35" t="s">
        <v>304</v>
      </c>
      <c r="D16" s="35"/>
      <c r="E16" s="35" t="s">
        <v>306</v>
      </c>
      <c r="G16" s="35"/>
      <c r="H16" s="35" t="s">
        <v>306</v>
      </c>
    </row>
    <row r="17" spans="1:10" x14ac:dyDescent="0.25">
      <c r="A17" t="s">
        <v>131</v>
      </c>
      <c r="C17" s="3">
        <v>80</v>
      </c>
      <c r="D17" s="3"/>
      <c r="E17" s="3">
        <v>100</v>
      </c>
      <c r="G17" s="3"/>
      <c r="H17" s="3">
        <v>100</v>
      </c>
    </row>
    <row r="18" spans="1:10" x14ac:dyDescent="0.25">
      <c r="A18" s="6" t="s">
        <v>132</v>
      </c>
    </row>
    <row r="19" spans="1:10" x14ac:dyDescent="0.25">
      <c r="A19" t="s">
        <v>111</v>
      </c>
      <c r="B19" s="3">
        <v>20</v>
      </c>
      <c r="D19" s="3">
        <v>30</v>
      </c>
      <c r="E19" s="3"/>
      <c r="G19" s="3">
        <v>30</v>
      </c>
      <c r="H19" s="3"/>
    </row>
    <row r="20" spans="1:10" x14ac:dyDescent="0.25">
      <c r="A20" t="s">
        <v>112</v>
      </c>
      <c r="B20" s="3">
        <v>10</v>
      </c>
      <c r="D20" s="3">
        <v>15</v>
      </c>
      <c r="E20" s="3"/>
      <c r="G20" s="3">
        <v>45</v>
      </c>
      <c r="H20" s="3"/>
      <c r="J20" s="3">
        <f>+G20/3</f>
        <v>15</v>
      </c>
    </row>
    <row r="21" spans="1:10" x14ac:dyDescent="0.25">
      <c r="A21" t="s">
        <v>312</v>
      </c>
      <c r="B21" s="15">
        <v>20</v>
      </c>
      <c r="C21" s="45">
        <f>-SUM(B19:B21)</f>
        <v>-50</v>
      </c>
      <c r="D21" s="15">
        <v>25</v>
      </c>
      <c r="E21" s="15">
        <f>-SUM(D19:D21)</f>
        <v>-70</v>
      </c>
      <c r="G21" s="15">
        <v>25</v>
      </c>
      <c r="H21" s="15">
        <v>-100</v>
      </c>
    </row>
    <row r="22" spans="1:10" x14ac:dyDescent="0.25">
      <c r="A22" s="6" t="s">
        <v>192</v>
      </c>
      <c r="B22" s="6"/>
      <c r="C22" s="54">
        <f>SUM(C17:C21)</f>
        <v>30</v>
      </c>
      <c r="D22" s="55"/>
      <c r="E22" s="55">
        <f>SUM(E17:E21)</f>
        <v>30</v>
      </c>
      <c r="G22" s="55"/>
      <c r="H22" s="55">
        <v>0</v>
      </c>
      <c r="J22" t="s">
        <v>313</v>
      </c>
    </row>
    <row r="23" spans="1:10" x14ac:dyDescent="0.25">
      <c r="A23" t="s">
        <v>314</v>
      </c>
      <c r="C23">
        <v>2</v>
      </c>
      <c r="E23">
        <v>3</v>
      </c>
      <c r="H23">
        <v>3</v>
      </c>
    </row>
    <row r="24" spans="1:10" x14ac:dyDescent="0.25">
      <c r="A24" t="s">
        <v>315</v>
      </c>
      <c r="C24" s="7">
        <f>C22/C23</f>
        <v>15</v>
      </c>
      <c r="E24" s="56">
        <f>E22/E23</f>
        <v>10</v>
      </c>
      <c r="H24" s="7">
        <f>H22/H23</f>
        <v>0</v>
      </c>
    </row>
    <row r="25" spans="1:10" x14ac:dyDescent="0.25">
      <c r="A25" s="52" t="s">
        <v>316</v>
      </c>
      <c r="B25" s="52"/>
      <c r="C25" s="40">
        <v>1</v>
      </c>
      <c r="D25" s="40"/>
      <c r="E25" s="40">
        <v>2</v>
      </c>
    </row>
    <row r="27" spans="1:10" x14ac:dyDescent="0.25">
      <c r="A27" s="6" t="s">
        <v>317</v>
      </c>
    </row>
    <row r="28" spans="1:10" x14ac:dyDescent="0.25">
      <c r="A28" s="13" t="s">
        <v>216</v>
      </c>
      <c r="B28" s="13" t="s">
        <v>318</v>
      </c>
      <c r="C28" s="13" t="s">
        <v>319</v>
      </c>
      <c r="D28" s="13" t="s">
        <v>303</v>
      </c>
    </row>
    <row r="29" spans="1:10" x14ac:dyDescent="0.25">
      <c r="A29" t="s">
        <v>304</v>
      </c>
      <c r="B29" s="3">
        <v>3000</v>
      </c>
      <c r="C29">
        <v>2</v>
      </c>
      <c r="D29" s="7">
        <f>B29*C29</f>
        <v>6000</v>
      </c>
    </row>
    <row r="30" spans="1:10" x14ac:dyDescent="0.25">
      <c r="A30" t="s">
        <v>306</v>
      </c>
      <c r="B30" s="24">
        <f>D30/C30</f>
        <v>4000</v>
      </c>
      <c r="C30">
        <v>3</v>
      </c>
      <c r="D30" s="24">
        <f>D31-D29</f>
        <v>12000</v>
      </c>
    </row>
    <row r="31" spans="1:10" ht="15.75" thickBot="1" x14ac:dyDescent="0.3">
      <c r="D31" s="19">
        <v>18000</v>
      </c>
    </row>
    <row r="32" spans="1:10" ht="15.75" thickTop="1" x14ac:dyDescent="0.25"/>
    <row r="33" spans="1:3" x14ac:dyDescent="0.25">
      <c r="A33" t="s">
        <v>144</v>
      </c>
    </row>
    <row r="34" spans="1:3" x14ac:dyDescent="0.25">
      <c r="A34" t="s">
        <v>320</v>
      </c>
      <c r="B34" t="s">
        <v>321</v>
      </c>
      <c r="C34" s="3">
        <f>3000*30</f>
        <v>90000</v>
      </c>
    </row>
    <row r="35" spans="1:3" x14ac:dyDescent="0.25">
      <c r="A35" t="s">
        <v>322</v>
      </c>
      <c r="B35" t="s">
        <v>323</v>
      </c>
      <c r="C35" s="15">
        <f>4000*30</f>
        <v>120000</v>
      </c>
    </row>
    <row r="36" spans="1:3" x14ac:dyDescent="0.25">
      <c r="A36" t="s">
        <v>324</v>
      </c>
      <c r="C36" s="7">
        <f>SUM(C34:C35)</f>
        <v>210000</v>
      </c>
    </row>
    <row r="37" spans="1:3" x14ac:dyDescent="0.25">
      <c r="A37" t="s">
        <v>166</v>
      </c>
      <c r="C37" s="3">
        <v>-110000</v>
      </c>
    </row>
    <row r="38" spans="1:3" ht="15.75" thickBot="1" x14ac:dyDescent="0.3">
      <c r="A38" s="6" t="s">
        <v>187</v>
      </c>
      <c r="B38" s="6"/>
      <c r="C38" s="51">
        <f>SUM(C36:C37)</f>
        <v>100000</v>
      </c>
    </row>
    <row r="39" spans="1:3" ht="15.75" thickTop="1" x14ac:dyDescent="0.25"/>
    <row r="41" spans="1:3" x14ac:dyDescent="0.25">
      <c r="A41" t="s">
        <v>148</v>
      </c>
    </row>
    <row r="42" spans="1:3" x14ac:dyDescent="0.25">
      <c r="A42" t="s">
        <v>325</v>
      </c>
      <c r="B42" t="s">
        <v>326</v>
      </c>
    </row>
    <row r="43" spans="1:3" x14ac:dyDescent="0.25">
      <c r="A43" t="s">
        <v>327</v>
      </c>
      <c r="B43" s="3">
        <v>10</v>
      </c>
    </row>
    <row r="44" spans="1:3" x14ac:dyDescent="0.25">
      <c r="A44" t="s">
        <v>328</v>
      </c>
      <c r="B44" s="3">
        <v>5</v>
      </c>
    </row>
    <row r="45" spans="1:3" ht="15.75" thickBot="1" x14ac:dyDescent="0.3">
      <c r="A45" t="s">
        <v>329</v>
      </c>
      <c r="B45" s="9">
        <f>SUM(B43:B44)</f>
        <v>15</v>
      </c>
    </row>
    <row r="46" spans="1:3" ht="15.75" thickTop="1" x14ac:dyDescent="0.25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sqref="A1:XFD1048576"/>
    </sheetView>
  </sheetViews>
  <sheetFormatPr defaultRowHeight="15" x14ac:dyDescent="0.25"/>
  <cols>
    <col min="1" max="1" width="24.85546875" customWidth="1"/>
    <col min="2" max="2" width="15" customWidth="1"/>
    <col min="3" max="3" width="14.28515625" bestFit="1" customWidth="1"/>
  </cols>
  <sheetData>
    <row r="2" spans="1:4" x14ac:dyDescent="0.25">
      <c r="A2" s="6" t="s">
        <v>330</v>
      </c>
    </row>
    <row r="4" spans="1:4" x14ac:dyDescent="0.25">
      <c r="A4" t="s">
        <v>331</v>
      </c>
      <c r="B4" s="5" t="s">
        <v>332</v>
      </c>
    </row>
    <row r="6" spans="1:4" x14ac:dyDescent="0.25">
      <c r="A6" s="13" t="s">
        <v>333</v>
      </c>
      <c r="C6" t="s">
        <v>334</v>
      </c>
    </row>
    <row r="7" spans="1:4" x14ac:dyDescent="0.25">
      <c r="A7" t="s">
        <v>335</v>
      </c>
      <c r="B7" t="s">
        <v>336</v>
      </c>
      <c r="C7" s="3">
        <f>60000*410</f>
        <v>24600000</v>
      </c>
      <c r="D7" t="s">
        <v>337</v>
      </c>
    </row>
    <row r="8" spans="1:4" x14ac:dyDescent="0.25">
      <c r="D8" t="s">
        <v>338</v>
      </c>
    </row>
    <row r="9" spans="1:4" x14ac:dyDescent="0.25">
      <c r="A9" t="s">
        <v>339</v>
      </c>
      <c r="B9" t="s">
        <v>340</v>
      </c>
      <c r="C9" s="3">
        <f>10000*1450</f>
        <v>14500000</v>
      </c>
      <c r="D9" t="s">
        <v>341</v>
      </c>
    </row>
    <row r="10" spans="1:4" x14ac:dyDescent="0.25">
      <c r="D10" t="s">
        <v>342</v>
      </c>
    </row>
    <row r="11" spans="1:4" x14ac:dyDescent="0.25">
      <c r="D11" t="s">
        <v>343</v>
      </c>
    </row>
    <row r="12" spans="1:4" x14ac:dyDescent="0.25">
      <c r="A12" t="s">
        <v>344</v>
      </c>
      <c r="C12" s="3">
        <v>0</v>
      </c>
      <c r="D12" t="s">
        <v>345</v>
      </c>
    </row>
    <row r="13" spans="1:4" x14ac:dyDescent="0.25">
      <c r="D13" t="s">
        <v>346</v>
      </c>
    </row>
    <row r="14" spans="1:4" x14ac:dyDescent="0.25">
      <c r="A14" t="s">
        <v>347</v>
      </c>
      <c r="C14" s="3">
        <v>4800000</v>
      </c>
      <c r="D14" t="s">
        <v>348</v>
      </c>
    </row>
    <row r="15" spans="1:4" x14ac:dyDescent="0.25">
      <c r="A15" t="s">
        <v>349</v>
      </c>
      <c r="C15" s="3">
        <v>2000000</v>
      </c>
      <c r="D15" t="s">
        <v>348</v>
      </c>
    </row>
    <row r="16" spans="1:4" x14ac:dyDescent="0.25">
      <c r="A16" t="s">
        <v>350</v>
      </c>
      <c r="B16" t="s">
        <v>351</v>
      </c>
      <c r="C16" s="3">
        <f>6400000*0.4</f>
        <v>2560000</v>
      </c>
      <c r="D16" t="s">
        <v>348</v>
      </c>
    </row>
    <row r="17" spans="1:4" x14ac:dyDescent="0.25">
      <c r="D17" t="s">
        <v>352</v>
      </c>
    </row>
    <row r="18" spans="1:4" x14ac:dyDescent="0.25">
      <c r="A18" t="s">
        <v>54</v>
      </c>
      <c r="B18" t="s">
        <v>353</v>
      </c>
      <c r="C18" s="15">
        <f>50000*500</f>
        <v>25000000</v>
      </c>
      <c r="D18" t="s">
        <v>354</v>
      </c>
    </row>
    <row r="19" spans="1:4" x14ac:dyDescent="0.25">
      <c r="A19" t="s">
        <v>355</v>
      </c>
      <c r="C19" s="7">
        <f>SUM(C7:C18)</f>
        <v>73460000</v>
      </c>
    </row>
    <row r="20" spans="1:4" x14ac:dyDescent="0.25">
      <c r="A20" t="s">
        <v>356</v>
      </c>
      <c r="C20" s="3">
        <v>73460000</v>
      </c>
      <c r="D20" s="10" t="s">
        <v>357</v>
      </c>
    </row>
    <row r="21" spans="1:4" x14ac:dyDescent="0.25">
      <c r="A21" t="s">
        <v>358</v>
      </c>
      <c r="C21" s="3">
        <v>1000000</v>
      </c>
    </row>
    <row r="22" spans="1:4" ht="15.75" thickBot="1" x14ac:dyDescent="0.3">
      <c r="A22" t="s">
        <v>359</v>
      </c>
      <c r="C22" s="9">
        <f>+C20/C21</f>
        <v>73.459999999999994</v>
      </c>
    </row>
    <row r="23" spans="1:4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sqref="A1:XFD1048576"/>
    </sheetView>
  </sheetViews>
  <sheetFormatPr defaultRowHeight="15" x14ac:dyDescent="0.25"/>
  <cols>
    <col min="1" max="1" width="19.85546875" bestFit="1" customWidth="1"/>
    <col min="2" max="2" width="16.85546875" customWidth="1"/>
    <col min="3" max="3" width="12.28515625" bestFit="1" customWidth="1"/>
  </cols>
  <sheetData>
    <row r="2" spans="1:4" x14ac:dyDescent="0.25">
      <c r="A2" s="6" t="s">
        <v>43</v>
      </c>
    </row>
    <row r="4" spans="1:4" x14ac:dyDescent="0.25">
      <c r="A4" t="s">
        <v>44</v>
      </c>
      <c r="C4" s="3">
        <v>200000</v>
      </c>
    </row>
    <row r="5" spans="1:4" x14ac:dyDescent="0.25">
      <c r="A5" t="s">
        <v>45</v>
      </c>
      <c r="B5" t="s">
        <v>46</v>
      </c>
      <c r="C5" s="3">
        <f>-C4*0.85</f>
        <v>-170000</v>
      </c>
    </row>
    <row r="6" spans="1:4" x14ac:dyDescent="0.25">
      <c r="A6" t="s">
        <v>47</v>
      </c>
      <c r="C6" s="7">
        <f>SUM(C4:C5)</f>
        <v>30000</v>
      </c>
    </row>
    <row r="7" spans="1:4" x14ac:dyDescent="0.25">
      <c r="A7" t="s">
        <v>48</v>
      </c>
      <c r="C7" s="3">
        <v>15000</v>
      </c>
      <c r="D7" t="s">
        <v>49</v>
      </c>
    </row>
    <row r="9" spans="1:4" x14ac:dyDescent="0.25">
      <c r="A9" s="8" t="s">
        <v>11</v>
      </c>
    </row>
    <row r="10" spans="1:4" x14ac:dyDescent="0.25">
      <c r="A10" t="s">
        <v>50</v>
      </c>
      <c r="B10" t="s">
        <v>51</v>
      </c>
      <c r="C10" s="3">
        <f>15000*25</f>
        <v>375000</v>
      </c>
    </row>
    <row r="11" spans="1:4" x14ac:dyDescent="0.25">
      <c r="A11" t="s">
        <v>52</v>
      </c>
      <c r="C11" s="3">
        <v>0</v>
      </c>
      <c r="D11" t="s">
        <v>53</v>
      </c>
    </row>
    <row r="12" spans="1:4" x14ac:dyDescent="0.25">
      <c r="A12" t="s">
        <v>54</v>
      </c>
      <c r="C12" s="3">
        <v>0</v>
      </c>
    </row>
    <row r="13" spans="1:4" ht="15.75" thickBot="1" x14ac:dyDescent="0.3">
      <c r="A13" t="s">
        <v>55</v>
      </c>
      <c r="C13" s="9">
        <f>SUM(C10:C12)</f>
        <v>375000</v>
      </c>
    </row>
    <row r="14" spans="1:4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sqref="A1:XFD1048576"/>
    </sheetView>
  </sheetViews>
  <sheetFormatPr defaultRowHeight="15" x14ac:dyDescent="0.25"/>
  <cols>
    <col min="1" max="1" width="40.28515625" bestFit="1" customWidth="1"/>
    <col min="2" max="2" width="21.7109375" bestFit="1" customWidth="1"/>
    <col min="3" max="3" width="10.5703125" bestFit="1" customWidth="1"/>
  </cols>
  <sheetData>
    <row r="2" spans="1:13" x14ac:dyDescent="0.25">
      <c r="A2" s="6" t="s">
        <v>56</v>
      </c>
    </row>
    <row r="4" spans="1:13" x14ac:dyDescent="0.25">
      <c r="A4" s="8" t="s">
        <v>57</v>
      </c>
    </row>
    <row r="6" spans="1:13" x14ac:dyDescent="0.25">
      <c r="A6" t="s">
        <v>50</v>
      </c>
      <c r="B6" t="s">
        <v>58</v>
      </c>
      <c r="C6" s="3">
        <f>1500*15</f>
        <v>22500</v>
      </c>
    </row>
    <row r="7" spans="1:13" x14ac:dyDescent="0.25">
      <c r="A7" t="s">
        <v>59</v>
      </c>
      <c r="C7" s="3">
        <v>5000</v>
      </c>
    </row>
    <row r="8" spans="1:13" x14ac:dyDescent="0.25">
      <c r="A8" t="s">
        <v>54</v>
      </c>
      <c r="B8" t="s">
        <v>60</v>
      </c>
      <c r="C8" s="3">
        <f>1500*3*8</f>
        <v>36000</v>
      </c>
      <c r="E8" t="s">
        <v>61</v>
      </c>
      <c r="G8">
        <v>1</v>
      </c>
      <c r="H8" t="s">
        <v>62</v>
      </c>
      <c r="L8" t="s">
        <v>63</v>
      </c>
      <c r="M8" t="s">
        <v>54</v>
      </c>
    </row>
    <row r="9" spans="1:13" ht="15.75" thickBot="1" x14ac:dyDescent="0.3">
      <c r="C9" s="9">
        <f>SUM(C6:C8)</f>
        <v>63500</v>
      </c>
      <c r="G9" s="10">
        <v>2</v>
      </c>
      <c r="H9" s="10" t="s">
        <v>64</v>
      </c>
      <c r="I9" s="10"/>
      <c r="J9" s="10"/>
      <c r="K9" s="10"/>
      <c r="L9" s="10" t="s">
        <v>65</v>
      </c>
    </row>
    <row r="10" spans="1:13" ht="15.75" thickTop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sqref="A1:XFD1048576"/>
    </sheetView>
  </sheetViews>
  <sheetFormatPr defaultRowHeight="15" x14ac:dyDescent="0.25"/>
  <cols>
    <col min="3" max="3" width="10.5703125" bestFit="1" customWidth="1"/>
    <col min="4" max="4" width="14.140625" customWidth="1"/>
    <col min="7" max="7" width="14" customWidth="1"/>
  </cols>
  <sheetData>
    <row r="2" spans="1:14" x14ac:dyDescent="0.25">
      <c r="F2" t="s">
        <v>66</v>
      </c>
    </row>
    <row r="4" spans="1:14" x14ac:dyDescent="0.25">
      <c r="D4" t="s">
        <v>67</v>
      </c>
      <c r="H4" s="11" t="s">
        <v>68</v>
      </c>
    </row>
    <row r="6" spans="1:14" x14ac:dyDescent="0.25">
      <c r="D6" t="s">
        <v>69</v>
      </c>
      <c r="G6" s="2" t="s">
        <v>70</v>
      </c>
      <c r="J6" t="s">
        <v>71</v>
      </c>
    </row>
    <row r="8" spans="1:14" ht="60" x14ac:dyDescent="0.25">
      <c r="D8" t="s">
        <v>72</v>
      </c>
      <c r="G8" s="12" t="s">
        <v>73</v>
      </c>
      <c r="J8" s="58" t="s">
        <v>74</v>
      </c>
      <c r="K8" s="58"/>
    </row>
    <row r="9" spans="1:14" x14ac:dyDescent="0.25">
      <c r="D9" s="10" t="s">
        <v>11</v>
      </c>
      <c r="I9" t="s">
        <v>75</v>
      </c>
      <c r="K9" t="s">
        <v>76</v>
      </c>
      <c r="M9" s="2" t="s">
        <v>77</v>
      </c>
    </row>
    <row r="10" spans="1:14" ht="60" x14ac:dyDescent="0.25">
      <c r="G10" s="12" t="s">
        <v>78</v>
      </c>
      <c r="I10" s="59" t="s">
        <v>54</v>
      </c>
      <c r="J10" s="59"/>
      <c r="K10" s="59"/>
      <c r="L10" s="59"/>
      <c r="M10" s="59"/>
      <c r="N10" s="59"/>
    </row>
    <row r="11" spans="1:14" x14ac:dyDescent="0.25">
      <c r="G11" s="10" t="s">
        <v>11</v>
      </c>
      <c r="I11" s="60" t="s">
        <v>11</v>
      </c>
      <c r="J11" s="60"/>
      <c r="K11" s="60"/>
      <c r="L11" s="60"/>
      <c r="M11" s="60"/>
      <c r="N11" s="60"/>
    </row>
    <row r="13" spans="1:14" x14ac:dyDescent="0.25">
      <c r="A13" s="6" t="s">
        <v>79</v>
      </c>
    </row>
    <row r="15" spans="1:14" x14ac:dyDescent="0.25">
      <c r="A15" s="13" t="s">
        <v>80</v>
      </c>
    </row>
    <row r="16" spans="1:14" x14ac:dyDescent="0.25">
      <c r="A16" t="s">
        <v>81</v>
      </c>
      <c r="B16" t="s">
        <v>82</v>
      </c>
      <c r="D16" s="3">
        <f>1000*24</f>
        <v>24000</v>
      </c>
      <c r="E16" t="s">
        <v>83</v>
      </c>
    </row>
    <row r="17" spans="1:5" x14ac:dyDescent="0.25">
      <c r="A17" t="s">
        <v>84</v>
      </c>
      <c r="B17" t="s">
        <v>85</v>
      </c>
      <c r="C17" s="3">
        <f>400*20</f>
        <v>8000</v>
      </c>
      <c r="E17" t="s">
        <v>83</v>
      </c>
    </row>
    <row r="18" spans="1:5" x14ac:dyDescent="0.25">
      <c r="B18" t="s">
        <v>86</v>
      </c>
      <c r="C18" s="15">
        <f>600*20</f>
        <v>12000</v>
      </c>
      <c r="D18" s="7">
        <f>SUM(C17:C18)</f>
        <v>20000</v>
      </c>
      <c r="E18" t="s">
        <v>87</v>
      </c>
    </row>
    <row r="19" spans="1:5" x14ac:dyDescent="0.25">
      <c r="A19" t="s">
        <v>88</v>
      </c>
      <c r="B19" t="s">
        <v>89</v>
      </c>
      <c r="C19" s="3">
        <f>300*16</f>
        <v>4800</v>
      </c>
      <c r="E19" t="s">
        <v>83</v>
      </c>
    </row>
    <row r="20" spans="1:5" x14ac:dyDescent="0.25">
      <c r="B20" t="s">
        <v>90</v>
      </c>
      <c r="C20" s="15">
        <f>700*10</f>
        <v>7000</v>
      </c>
      <c r="D20" s="7">
        <f>SUM(C19:C20)</f>
        <v>11800</v>
      </c>
      <c r="E20" t="s">
        <v>54</v>
      </c>
    </row>
    <row r="21" spans="1:5" x14ac:dyDescent="0.25">
      <c r="A21" t="s">
        <v>91</v>
      </c>
      <c r="B21" t="s">
        <v>92</v>
      </c>
      <c r="C21" s="3">
        <v>6000</v>
      </c>
      <c r="D21" s="7">
        <f>+C21</f>
        <v>6000</v>
      </c>
      <c r="E21" t="s">
        <v>93</v>
      </c>
    </row>
    <row r="22" spans="1:5" x14ac:dyDescent="0.25">
      <c r="B22" s="14" t="s">
        <v>94</v>
      </c>
      <c r="C22" s="16">
        <f>200*24</f>
        <v>4800</v>
      </c>
      <c r="D22" s="3">
        <v>0</v>
      </c>
      <c r="E22" t="s">
        <v>95</v>
      </c>
    </row>
    <row r="23" spans="1:5" ht="15.75" thickBot="1" x14ac:dyDescent="0.3">
      <c r="D23" s="9">
        <f>SUM(D16:D22)</f>
        <v>61800</v>
      </c>
    </row>
    <row r="24" spans="1:5" ht="15.75" thickTop="1" x14ac:dyDescent="0.25"/>
  </sheetData>
  <mergeCells count="3">
    <mergeCell ref="J8:K8"/>
    <mergeCell ref="I10:N10"/>
    <mergeCell ref="I11:N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sqref="A1:XFD1048576"/>
    </sheetView>
  </sheetViews>
  <sheetFormatPr defaultRowHeight="15" x14ac:dyDescent="0.25"/>
  <cols>
    <col min="1" max="1" width="19" customWidth="1"/>
    <col min="3" max="3" width="10.5703125" bestFit="1" customWidth="1"/>
    <col min="4" max="4" width="12.28515625" bestFit="1" customWidth="1"/>
  </cols>
  <sheetData>
    <row r="2" spans="1:13" x14ac:dyDescent="0.25">
      <c r="A2" s="6" t="s">
        <v>96</v>
      </c>
      <c r="F2" s="6" t="s">
        <v>97</v>
      </c>
      <c r="M2" t="s">
        <v>98</v>
      </c>
    </row>
    <row r="5" spans="1:13" x14ac:dyDescent="0.25">
      <c r="E5" t="s">
        <v>99</v>
      </c>
      <c r="I5" t="s">
        <v>100</v>
      </c>
    </row>
    <row r="7" spans="1:13" x14ac:dyDescent="0.25">
      <c r="I7" t="s">
        <v>101</v>
      </c>
      <c r="L7" t="s">
        <v>102</v>
      </c>
    </row>
    <row r="8" spans="1:13" x14ac:dyDescent="0.25">
      <c r="E8" t="s">
        <v>103</v>
      </c>
    </row>
    <row r="9" spans="1:13" x14ac:dyDescent="0.25">
      <c r="E9" s="10" t="s">
        <v>104</v>
      </c>
      <c r="H9" t="s">
        <v>105</v>
      </c>
      <c r="J9" t="s">
        <v>106</v>
      </c>
    </row>
    <row r="11" spans="1:13" x14ac:dyDescent="0.25">
      <c r="L11" t="s">
        <v>54</v>
      </c>
    </row>
    <row r="12" spans="1:13" x14ac:dyDescent="0.25">
      <c r="H12" t="s">
        <v>107</v>
      </c>
      <c r="J12" t="s">
        <v>108</v>
      </c>
      <c r="L12" s="10" t="s">
        <v>11</v>
      </c>
    </row>
    <row r="13" spans="1:13" x14ac:dyDescent="0.25">
      <c r="H13" s="10" t="s">
        <v>11</v>
      </c>
      <c r="J13" s="10" t="s">
        <v>11</v>
      </c>
    </row>
    <row r="16" spans="1:13" x14ac:dyDescent="0.25">
      <c r="A16" t="s">
        <v>109</v>
      </c>
      <c r="D16" s="3">
        <v>100000</v>
      </c>
    </row>
    <row r="17" spans="1:8" x14ac:dyDescent="0.25">
      <c r="A17" s="6" t="s">
        <v>110</v>
      </c>
    </row>
    <row r="18" spans="1:8" x14ac:dyDescent="0.25">
      <c r="A18" t="s">
        <v>111</v>
      </c>
      <c r="C18" s="3">
        <v>30000</v>
      </c>
    </row>
    <row r="19" spans="1:8" x14ac:dyDescent="0.25">
      <c r="A19" t="s">
        <v>112</v>
      </c>
      <c r="C19" s="3"/>
    </row>
    <row r="20" spans="1:8" x14ac:dyDescent="0.25">
      <c r="A20" s="27" t="s">
        <v>113</v>
      </c>
      <c r="B20" s="10" t="s">
        <v>114</v>
      </c>
      <c r="C20" s="21">
        <v>20000</v>
      </c>
      <c r="E20" t="s">
        <v>115</v>
      </c>
      <c r="H20" t="s">
        <v>116</v>
      </c>
    </row>
    <row r="21" spans="1:8" x14ac:dyDescent="0.25">
      <c r="A21" s="26" t="s">
        <v>54</v>
      </c>
      <c r="B21" t="s">
        <v>117</v>
      </c>
      <c r="C21" s="3">
        <v>24000</v>
      </c>
      <c r="H21" t="s">
        <v>118</v>
      </c>
    </row>
    <row r="22" spans="1:8" x14ac:dyDescent="0.25">
      <c r="A22" t="s">
        <v>119</v>
      </c>
      <c r="B22" t="s">
        <v>120</v>
      </c>
      <c r="C22" s="3">
        <f>2000*5</f>
        <v>10000</v>
      </c>
    </row>
    <row r="23" spans="1:8" x14ac:dyDescent="0.25">
      <c r="A23" s="10" t="s">
        <v>121</v>
      </c>
      <c r="B23" s="10" t="s">
        <v>122</v>
      </c>
      <c r="C23" s="21">
        <v>0</v>
      </c>
      <c r="D23" s="7">
        <f>-SUM(C18:C23)</f>
        <v>-84000</v>
      </c>
    </row>
    <row r="24" spans="1:8" ht="15.75" thickBot="1" x14ac:dyDescent="0.3">
      <c r="A24" t="s">
        <v>123</v>
      </c>
      <c r="D24" s="9">
        <f>SUM(D16:D23)</f>
        <v>16000</v>
      </c>
    </row>
    <row r="25" spans="1:8" ht="15.75" thickTop="1" x14ac:dyDescent="0.25"/>
    <row r="26" spans="1:8" x14ac:dyDescent="0.25">
      <c r="A26" s="10" t="s">
        <v>124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sqref="A1:XFD1048576"/>
    </sheetView>
  </sheetViews>
  <sheetFormatPr defaultRowHeight="15" x14ac:dyDescent="0.25"/>
  <cols>
    <col min="1" max="1" width="16.85546875" customWidth="1"/>
    <col min="2" max="2" width="10.85546875" bestFit="1" customWidth="1"/>
    <col min="6" max="6" width="10.5703125" customWidth="1"/>
  </cols>
  <sheetData>
    <row r="2" spans="1:8" x14ac:dyDescent="0.25">
      <c r="A2" s="6" t="s">
        <v>125</v>
      </c>
    </row>
    <row r="3" spans="1:8" x14ac:dyDescent="0.25">
      <c r="C3" t="s">
        <v>126</v>
      </c>
      <c r="F3" t="s">
        <v>127</v>
      </c>
    </row>
    <row r="4" spans="1:8" x14ac:dyDescent="0.25">
      <c r="C4" s="11" t="s">
        <v>128</v>
      </c>
      <c r="D4" s="11"/>
      <c r="E4" s="11"/>
      <c r="F4" s="11" t="s">
        <v>129</v>
      </c>
      <c r="H4" t="s">
        <v>130</v>
      </c>
    </row>
    <row r="5" spans="1:8" x14ac:dyDescent="0.25">
      <c r="A5" t="s">
        <v>131</v>
      </c>
      <c r="C5" s="3">
        <v>150</v>
      </c>
      <c r="F5" s="1">
        <f>-F9/H9</f>
        <v>176.52439024390245</v>
      </c>
      <c r="H5" s="18">
        <v>1</v>
      </c>
    </row>
    <row r="6" spans="1:8" x14ac:dyDescent="0.25">
      <c r="A6" s="6" t="s">
        <v>132</v>
      </c>
      <c r="C6" s="3"/>
      <c r="H6" s="18"/>
    </row>
    <row r="7" spans="1:8" x14ac:dyDescent="0.25">
      <c r="A7" t="s">
        <v>111</v>
      </c>
      <c r="B7" s="3">
        <v>40</v>
      </c>
      <c r="C7" s="3"/>
      <c r="D7" t="s">
        <v>133</v>
      </c>
      <c r="E7" s="7">
        <f>B7*1.1</f>
        <v>44</v>
      </c>
      <c r="H7" s="18"/>
    </row>
    <row r="8" spans="1:8" x14ac:dyDescent="0.25">
      <c r="A8" t="s">
        <v>112</v>
      </c>
      <c r="B8" s="3">
        <v>32</v>
      </c>
      <c r="C8" s="3"/>
      <c r="D8" t="s">
        <v>134</v>
      </c>
      <c r="E8" s="3">
        <f>+B8*1.25</f>
        <v>40</v>
      </c>
      <c r="H8" s="18"/>
    </row>
    <row r="9" spans="1:8" x14ac:dyDescent="0.25">
      <c r="A9" t="s">
        <v>119</v>
      </c>
      <c r="B9" s="3">
        <v>10</v>
      </c>
      <c r="C9" s="3">
        <f>-SUM(B7:B9)</f>
        <v>-82</v>
      </c>
      <c r="D9" t="s">
        <v>135</v>
      </c>
      <c r="E9" s="3">
        <f>10/32*40</f>
        <v>12.5</v>
      </c>
      <c r="F9" s="7">
        <f>-SUM(E7:E9)</f>
        <v>-96.5</v>
      </c>
      <c r="H9" s="18">
        <f>1-F11</f>
        <v>0.54666666666666663</v>
      </c>
    </row>
    <row r="10" spans="1:8" ht="15.75" thickBot="1" x14ac:dyDescent="0.3">
      <c r="A10" t="s">
        <v>136</v>
      </c>
      <c r="C10" s="19">
        <f>SUM(C5:C9)</f>
        <v>68</v>
      </c>
      <c r="F10" s="29">
        <f>SUM(F5:F9)</f>
        <v>80.024390243902445</v>
      </c>
      <c r="H10" s="18"/>
    </row>
    <row r="11" spans="1:8" ht="15.75" thickTop="1" x14ac:dyDescent="0.25">
      <c r="A11" t="s">
        <v>137</v>
      </c>
      <c r="B11" t="s">
        <v>138</v>
      </c>
      <c r="C11" s="18">
        <f>+C10/C5</f>
        <v>0.45333333333333331</v>
      </c>
      <c r="F11" s="28">
        <f>+C11</f>
        <v>0.45333333333333331</v>
      </c>
      <c r="H11" s="18">
        <v>0.45329999999999998</v>
      </c>
    </row>
    <row r="12" spans="1:8" x14ac:dyDescent="0.25">
      <c r="F12" s="18">
        <f>+F10/F5</f>
        <v>0.45333333333333337</v>
      </c>
      <c r="H12" s="1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sqref="A1:XFD1048576"/>
    </sheetView>
  </sheetViews>
  <sheetFormatPr defaultRowHeight="15" x14ac:dyDescent="0.25"/>
  <cols>
    <col min="1" max="1" width="11.140625" customWidth="1"/>
    <col min="2" max="2" width="19.28515625" bestFit="1" customWidth="1"/>
    <col min="4" max="4" width="13.28515625" bestFit="1" customWidth="1"/>
    <col min="7" max="7" width="13.28515625" bestFit="1" customWidth="1"/>
  </cols>
  <sheetData>
    <row r="2" spans="1:7" x14ac:dyDescent="0.25">
      <c r="A2" s="6" t="s">
        <v>139</v>
      </c>
    </row>
    <row r="4" spans="1:7" x14ac:dyDescent="0.25">
      <c r="A4" t="s">
        <v>140</v>
      </c>
      <c r="B4" t="s">
        <v>141</v>
      </c>
      <c r="C4" s="5" t="s">
        <v>12</v>
      </c>
      <c r="D4" t="s">
        <v>142</v>
      </c>
    </row>
    <row r="5" spans="1:7" x14ac:dyDescent="0.25">
      <c r="D5" t="s">
        <v>143</v>
      </c>
    </row>
    <row r="6" spans="1:7" x14ac:dyDescent="0.25">
      <c r="D6" s="30">
        <f>40/100</f>
        <v>0.4</v>
      </c>
    </row>
    <row r="8" spans="1:7" x14ac:dyDescent="0.25">
      <c r="A8" t="s">
        <v>144</v>
      </c>
      <c r="B8" t="s">
        <v>145</v>
      </c>
      <c r="C8" s="5" t="s">
        <v>12</v>
      </c>
      <c r="D8" t="s">
        <v>146</v>
      </c>
    </row>
    <row r="9" spans="1:7" x14ac:dyDescent="0.25">
      <c r="D9" t="s">
        <v>147</v>
      </c>
    </row>
    <row r="10" spans="1:7" ht="17.25" x14ac:dyDescent="0.4">
      <c r="D10" s="20">
        <f>600000/40</f>
        <v>15000</v>
      </c>
    </row>
    <row r="12" spans="1:7" x14ac:dyDescent="0.25">
      <c r="A12" t="s">
        <v>148</v>
      </c>
      <c r="B12" t="s">
        <v>149</v>
      </c>
      <c r="C12" s="5" t="s">
        <v>12</v>
      </c>
      <c r="D12" t="s">
        <v>150</v>
      </c>
      <c r="F12" s="10" t="s">
        <v>151</v>
      </c>
      <c r="G12" t="s">
        <v>152</v>
      </c>
    </row>
    <row r="13" spans="1:7" x14ac:dyDescent="0.25">
      <c r="D13" t="s">
        <v>153</v>
      </c>
      <c r="G13" t="s">
        <v>154</v>
      </c>
    </row>
    <row r="14" spans="1:7" ht="17.25" x14ac:dyDescent="0.4">
      <c r="D14" s="20">
        <f>600000/0.4</f>
        <v>1500000</v>
      </c>
      <c r="G14" s="20">
        <v>1500000</v>
      </c>
    </row>
    <row r="16" spans="1:7" x14ac:dyDescent="0.25">
      <c r="A16" t="s">
        <v>155</v>
      </c>
      <c r="B16" t="s">
        <v>156</v>
      </c>
      <c r="C16" s="5" t="s">
        <v>12</v>
      </c>
      <c r="D16" t="s">
        <v>157</v>
      </c>
    </row>
    <row r="17" spans="1:4" x14ac:dyDescent="0.25">
      <c r="D17" t="s">
        <v>158</v>
      </c>
    </row>
    <row r="18" spans="1:4" ht="17.25" x14ac:dyDescent="0.4">
      <c r="D18" s="20">
        <f>800000/40</f>
        <v>20000</v>
      </c>
    </row>
    <row r="20" spans="1:4" x14ac:dyDescent="0.25">
      <c r="B20" t="s">
        <v>159</v>
      </c>
      <c r="C20" s="5" t="s">
        <v>12</v>
      </c>
      <c r="D20" t="s">
        <v>160</v>
      </c>
    </row>
    <row r="21" spans="1:4" x14ac:dyDescent="0.25">
      <c r="D21" t="s">
        <v>161</v>
      </c>
    </row>
    <row r="22" spans="1:4" ht="17.25" x14ac:dyDescent="0.4">
      <c r="D22" s="20">
        <f>800000/0.4</f>
        <v>2000000</v>
      </c>
    </row>
    <row r="24" spans="1:4" x14ac:dyDescent="0.25">
      <c r="A24" t="s">
        <v>162</v>
      </c>
      <c r="B24" t="s">
        <v>163</v>
      </c>
    </row>
    <row r="25" spans="1:4" x14ac:dyDescent="0.25">
      <c r="B25" t="s">
        <v>164</v>
      </c>
      <c r="C25" t="s">
        <v>165</v>
      </c>
      <c r="D25" s="3">
        <f>30000*40</f>
        <v>1200000</v>
      </c>
    </row>
    <row r="26" spans="1:4" x14ac:dyDescent="0.25">
      <c r="B26" t="s">
        <v>166</v>
      </c>
      <c r="D26" s="3">
        <v>-600000</v>
      </c>
    </row>
    <row r="27" spans="1:4" ht="15.75" thickBot="1" x14ac:dyDescent="0.3">
      <c r="B27" t="s">
        <v>167</v>
      </c>
      <c r="D27" s="9">
        <f>SUM(D25:D26)</f>
        <v>600000</v>
      </c>
    </row>
    <row r="28" spans="1:4" ht="15.75" thickTop="1" x14ac:dyDescent="0.25"/>
    <row r="29" spans="1:4" x14ac:dyDescent="0.25">
      <c r="B29" t="s">
        <v>156</v>
      </c>
      <c r="C29" s="5" t="s">
        <v>12</v>
      </c>
      <c r="D29" t="s">
        <v>157</v>
      </c>
    </row>
    <row r="30" spans="1:4" x14ac:dyDescent="0.25">
      <c r="D30" t="s">
        <v>168</v>
      </c>
    </row>
    <row r="31" spans="1:4" ht="17.25" x14ac:dyDescent="0.4">
      <c r="D31" s="20">
        <f>1300000/25</f>
        <v>52000</v>
      </c>
    </row>
    <row r="33" spans="2:4" x14ac:dyDescent="0.25">
      <c r="B33" t="s">
        <v>159</v>
      </c>
      <c r="C33" s="5" t="s">
        <v>12</v>
      </c>
      <c r="D33" t="s">
        <v>160</v>
      </c>
    </row>
    <row r="34" spans="2:4" x14ac:dyDescent="0.25">
      <c r="D34" t="s">
        <v>169</v>
      </c>
    </row>
    <row r="35" spans="2:4" ht="17.25" x14ac:dyDescent="0.4">
      <c r="D35" s="20">
        <f>1300000/0.25</f>
        <v>5200000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workbookViewId="0">
      <selection sqref="A1:XFD1048576"/>
    </sheetView>
  </sheetViews>
  <sheetFormatPr defaultRowHeight="15" x14ac:dyDescent="0.25"/>
  <cols>
    <col min="1" max="1" width="24.85546875" customWidth="1"/>
    <col min="2" max="2" width="10.85546875" customWidth="1"/>
    <col min="3" max="3" width="13.28515625" bestFit="1" customWidth="1"/>
    <col min="4" max="4" width="10.28515625" customWidth="1"/>
    <col min="6" max="6" width="10.28515625" bestFit="1" customWidth="1"/>
  </cols>
  <sheetData>
    <row r="2" spans="1:10" x14ac:dyDescent="0.25">
      <c r="A2" s="6" t="s">
        <v>170</v>
      </c>
    </row>
    <row r="5" spans="1:10" x14ac:dyDescent="0.25">
      <c r="A5" t="s">
        <v>140</v>
      </c>
    </row>
    <row r="6" spans="1:10" x14ac:dyDescent="0.25">
      <c r="C6" s="11" t="s">
        <v>128</v>
      </c>
      <c r="D6" s="11"/>
      <c r="F6" s="11" t="s">
        <v>129</v>
      </c>
      <c r="H6" t="s">
        <v>130</v>
      </c>
      <c r="J6" t="s">
        <v>171</v>
      </c>
    </row>
    <row r="7" spans="1:10" x14ac:dyDescent="0.25">
      <c r="A7" t="s">
        <v>131</v>
      </c>
      <c r="C7" s="3">
        <v>1500</v>
      </c>
      <c r="D7" s="3"/>
      <c r="E7" s="11"/>
      <c r="F7" s="22">
        <f>-F11/H11</f>
        <v>1777.4999999999998</v>
      </c>
      <c r="H7" s="18">
        <v>1</v>
      </c>
      <c r="J7" s="32" t="s">
        <v>172</v>
      </c>
    </row>
    <row r="8" spans="1:10" x14ac:dyDescent="0.25">
      <c r="A8" s="6" t="s">
        <v>132</v>
      </c>
      <c r="C8" s="3"/>
      <c r="D8" s="3"/>
      <c r="H8" s="18"/>
    </row>
    <row r="9" spans="1:10" x14ac:dyDescent="0.25">
      <c r="A9" t="s">
        <v>111</v>
      </c>
      <c r="B9" s="3">
        <v>500</v>
      </c>
      <c r="C9" s="3"/>
      <c r="D9" s="3" t="s">
        <v>173</v>
      </c>
      <c r="E9" s="3">
        <f>500*1.25</f>
        <v>625</v>
      </c>
      <c r="H9" s="18"/>
    </row>
    <row r="10" spans="1:10" x14ac:dyDescent="0.25">
      <c r="A10" t="s">
        <v>112</v>
      </c>
      <c r="B10" s="3">
        <v>300</v>
      </c>
      <c r="C10" s="3"/>
      <c r="D10" s="3" t="s">
        <v>174</v>
      </c>
      <c r="E10" s="3">
        <f>300*1.2</f>
        <v>360</v>
      </c>
      <c r="H10" s="18"/>
    </row>
    <row r="11" spans="1:10" x14ac:dyDescent="0.25">
      <c r="A11" t="s">
        <v>119</v>
      </c>
      <c r="B11" s="15">
        <v>200</v>
      </c>
      <c r="C11" s="3">
        <f>-SUM(B9:B11)</f>
        <v>-1000</v>
      </c>
      <c r="D11" s="3"/>
      <c r="E11" s="3">
        <v>200</v>
      </c>
      <c r="F11" s="7">
        <f>-SUM(E9:E11)</f>
        <v>-1185</v>
      </c>
      <c r="H11" s="18">
        <f>H7-H13</f>
        <v>0.66666666666666674</v>
      </c>
    </row>
    <row r="12" spans="1:10" ht="15.75" thickBot="1" x14ac:dyDescent="0.3">
      <c r="A12" t="s">
        <v>136</v>
      </c>
      <c r="C12" s="19">
        <f>SUM(C7:C11)</f>
        <v>500</v>
      </c>
      <c r="D12" s="31"/>
      <c r="E12" s="3"/>
      <c r="F12" s="19">
        <f>SUM(F7:F11)</f>
        <v>592.49999999999977</v>
      </c>
      <c r="H12" s="18"/>
    </row>
    <row r="13" spans="1:10" ht="15.75" thickTop="1" x14ac:dyDescent="0.25">
      <c r="A13" t="s">
        <v>137</v>
      </c>
      <c r="B13" t="s">
        <v>175</v>
      </c>
      <c r="C13" s="18">
        <f>+C12/C7</f>
        <v>0.33333333333333331</v>
      </c>
      <c r="D13" s="18"/>
      <c r="E13" s="3"/>
      <c r="F13" s="28">
        <f>+C13</f>
        <v>0.33333333333333331</v>
      </c>
      <c r="H13" s="18">
        <f>+C13</f>
        <v>0.33333333333333331</v>
      </c>
    </row>
    <row r="14" spans="1:10" x14ac:dyDescent="0.25">
      <c r="F14" s="18">
        <f>+F12/F7</f>
        <v>0.33333333333333326</v>
      </c>
      <c r="H14" s="17"/>
    </row>
    <row r="16" spans="1:10" x14ac:dyDescent="0.25">
      <c r="A16" t="s">
        <v>144</v>
      </c>
    </row>
    <row r="17" spans="1:4" x14ac:dyDescent="0.25">
      <c r="A17" s="6" t="s">
        <v>176</v>
      </c>
    </row>
    <row r="18" spans="1:4" x14ac:dyDescent="0.25">
      <c r="A18" t="s">
        <v>164</v>
      </c>
      <c r="B18" t="s">
        <v>177</v>
      </c>
      <c r="C18" s="3">
        <f>2000*500</f>
        <v>1000000</v>
      </c>
    </row>
    <row r="19" spans="1:4" x14ac:dyDescent="0.25">
      <c r="A19" t="s">
        <v>166</v>
      </c>
      <c r="C19" s="3">
        <v>-600000</v>
      </c>
    </row>
    <row r="20" spans="1:4" ht="15.75" thickBot="1" x14ac:dyDescent="0.3">
      <c r="A20" t="s">
        <v>178</v>
      </c>
      <c r="C20" s="9">
        <f>SUM(C18:C19)</f>
        <v>400000</v>
      </c>
    </row>
    <row r="21" spans="1:4" ht="15.75" thickTop="1" x14ac:dyDescent="0.25"/>
    <row r="22" spans="1:4" x14ac:dyDescent="0.25">
      <c r="A22" t="s">
        <v>179</v>
      </c>
      <c r="B22" t="s">
        <v>180</v>
      </c>
      <c r="C22" s="3">
        <v>702500</v>
      </c>
    </row>
    <row r="24" spans="1:4" x14ac:dyDescent="0.25">
      <c r="A24" t="s">
        <v>156</v>
      </c>
      <c r="B24" s="5" t="s">
        <v>12</v>
      </c>
      <c r="C24" t="s">
        <v>157</v>
      </c>
    </row>
    <row r="25" spans="1:4" x14ac:dyDescent="0.25">
      <c r="C25" t="s">
        <v>181</v>
      </c>
    </row>
    <row r="26" spans="1:4" x14ac:dyDescent="0.25">
      <c r="C26" t="s">
        <v>182</v>
      </c>
    </row>
    <row r="27" spans="1:4" ht="17.25" x14ac:dyDescent="0.4">
      <c r="C27" s="20">
        <f>1102500/315</f>
        <v>3500</v>
      </c>
    </row>
    <row r="28" spans="1:4" x14ac:dyDescent="0.25">
      <c r="A28" t="s">
        <v>183</v>
      </c>
      <c r="B28" s="5" t="s">
        <v>12</v>
      </c>
      <c r="C28" t="s">
        <v>184</v>
      </c>
    </row>
    <row r="29" spans="1:4" ht="17.25" x14ac:dyDescent="0.4">
      <c r="C29" s="20">
        <v>1500</v>
      </c>
      <c r="D29" t="s">
        <v>185</v>
      </c>
    </row>
    <row r="32" spans="1:4" x14ac:dyDescent="0.25">
      <c r="A32" t="s">
        <v>148</v>
      </c>
    </row>
    <row r="33" spans="1:3" x14ac:dyDescent="0.25">
      <c r="A33" t="s">
        <v>164</v>
      </c>
      <c r="B33" t="s">
        <v>186</v>
      </c>
      <c r="C33" s="3">
        <f>592.5*2000</f>
        <v>1185000</v>
      </c>
    </row>
    <row r="34" spans="1:3" x14ac:dyDescent="0.25">
      <c r="A34" t="s">
        <v>166</v>
      </c>
      <c r="C34" s="3">
        <v>-700000</v>
      </c>
    </row>
    <row r="35" spans="1:3" ht="15.75" thickBot="1" x14ac:dyDescent="0.3">
      <c r="A35" t="s">
        <v>187</v>
      </c>
      <c r="C35" s="9">
        <f>SUM(C33:C34)</f>
        <v>485000</v>
      </c>
    </row>
    <row r="36" spans="1:3" ht="15.75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sqref="A1:XFD1048576"/>
    </sheetView>
  </sheetViews>
  <sheetFormatPr defaultRowHeight="15" x14ac:dyDescent="0.25"/>
  <cols>
    <col min="1" max="1" width="27.42578125" bestFit="1" customWidth="1"/>
    <col min="2" max="2" width="31.85546875" bestFit="1" customWidth="1"/>
    <col min="3" max="5" width="11.5703125" bestFit="1" customWidth="1"/>
    <col min="6" max="6" width="15.7109375" customWidth="1"/>
    <col min="7" max="7" width="13.85546875" customWidth="1"/>
    <col min="8" max="8" width="14" bestFit="1" customWidth="1"/>
  </cols>
  <sheetData>
    <row r="2" spans="1:9" x14ac:dyDescent="0.25">
      <c r="A2" s="6" t="s">
        <v>188</v>
      </c>
    </row>
    <row r="4" spans="1:9" ht="17.25" x14ac:dyDescent="0.4">
      <c r="A4" t="s">
        <v>189</v>
      </c>
      <c r="C4" s="23">
        <v>1000</v>
      </c>
      <c r="D4" s="33">
        <v>1001</v>
      </c>
      <c r="E4" s="33">
        <v>1002</v>
      </c>
      <c r="F4" s="33">
        <v>1100</v>
      </c>
      <c r="G4" s="33"/>
    </row>
    <row r="5" spans="1:9" x14ac:dyDescent="0.25">
      <c r="A5" t="s">
        <v>190</v>
      </c>
      <c r="C5" s="3">
        <f>+C4*100</f>
        <v>100000</v>
      </c>
      <c r="D5" s="3">
        <f>+D4*100</f>
        <v>100100</v>
      </c>
      <c r="E5" s="3">
        <f>+E4*100</f>
        <v>100200</v>
      </c>
      <c r="F5" s="3">
        <f>+F4*100</f>
        <v>110000</v>
      </c>
      <c r="G5" s="3"/>
      <c r="H5" s="3"/>
      <c r="I5" s="3"/>
    </row>
    <row r="6" spans="1:9" x14ac:dyDescent="0.25">
      <c r="A6" t="s">
        <v>191</v>
      </c>
      <c r="C6" s="15">
        <f>-C4*60</f>
        <v>-60000</v>
      </c>
      <c r="D6" s="15">
        <f>-D4*60</f>
        <v>-60060</v>
      </c>
      <c r="E6" s="15">
        <f>-E4*60</f>
        <v>-60120</v>
      </c>
      <c r="F6" s="15">
        <f>-F4*60</f>
        <v>-66000</v>
      </c>
      <c r="G6" s="3"/>
      <c r="H6" s="3"/>
      <c r="I6" s="3"/>
    </row>
    <row r="7" spans="1:9" x14ac:dyDescent="0.25">
      <c r="A7" t="s">
        <v>192</v>
      </c>
      <c r="C7" s="7">
        <f>SUM(C5:C6)</f>
        <v>40000</v>
      </c>
      <c r="D7" s="7">
        <f>SUM(D5:D6)</f>
        <v>40040</v>
      </c>
      <c r="E7" s="3">
        <f>SUM(E5:E6)</f>
        <v>40080</v>
      </c>
      <c r="F7" s="3">
        <f>SUM(F5:F6)</f>
        <v>44000</v>
      </c>
      <c r="G7" s="3"/>
      <c r="H7" s="3"/>
      <c r="I7" s="3"/>
    </row>
    <row r="8" spans="1:9" x14ac:dyDescent="0.25">
      <c r="A8" t="s">
        <v>166</v>
      </c>
      <c r="C8" s="3">
        <v>-40000</v>
      </c>
      <c r="D8" s="3">
        <f>+C8</f>
        <v>-40000</v>
      </c>
      <c r="E8" s="3">
        <f>+D8</f>
        <v>-40000</v>
      </c>
      <c r="F8" s="3">
        <f>+E8</f>
        <v>-40000</v>
      </c>
      <c r="G8" s="3"/>
      <c r="H8" s="3"/>
      <c r="I8" s="3"/>
    </row>
    <row r="9" spans="1:9" ht="15.75" thickBot="1" x14ac:dyDescent="0.3">
      <c r="A9" t="s">
        <v>187</v>
      </c>
      <c r="C9" s="9">
        <f>SUM(C7:C8)</f>
        <v>0</v>
      </c>
      <c r="D9" s="9">
        <f>SUM(D7:D8)</f>
        <v>40</v>
      </c>
      <c r="E9" s="19">
        <f>SUM(E7:E8)</f>
        <v>80</v>
      </c>
      <c r="F9" s="19">
        <f>SUM(F7:F8)</f>
        <v>4000</v>
      </c>
      <c r="G9" s="3"/>
      <c r="H9" s="3"/>
      <c r="I9" s="3"/>
    </row>
    <row r="10" spans="1:9" ht="15.75" thickTop="1" x14ac:dyDescent="0.25">
      <c r="A10" s="10" t="s">
        <v>137</v>
      </c>
      <c r="B10" s="10" t="s">
        <v>193</v>
      </c>
      <c r="C10" s="34">
        <f>+C7/C5</f>
        <v>0.4</v>
      </c>
      <c r="D10" s="34">
        <f>+D7/D5</f>
        <v>0.4</v>
      </c>
      <c r="E10" s="34">
        <f>+E7/E5</f>
        <v>0.4</v>
      </c>
      <c r="F10" s="34">
        <f>+F7/F5</f>
        <v>0.4</v>
      </c>
    </row>
    <row r="11" spans="1:9" x14ac:dyDescent="0.25">
      <c r="A11" s="10" t="s">
        <v>137</v>
      </c>
      <c r="B11" s="10" t="s">
        <v>194</v>
      </c>
      <c r="D11" t="s">
        <v>195</v>
      </c>
      <c r="E11" t="s">
        <v>196</v>
      </c>
      <c r="F11" t="s">
        <v>197</v>
      </c>
    </row>
    <row r="12" spans="1:9" x14ac:dyDescent="0.25">
      <c r="F12" t="s">
        <v>198</v>
      </c>
      <c r="H12" s="17"/>
    </row>
    <row r="14" spans="1:9" x14ac:dyDescent="0.25">
      <c r="B14" s="10" t="s">
        <v>199</v>
      </c>
    </row>
    <row r="17" spans="1:8" x14ac:dyDescent="0.25">
      <c r="A17" t="s">
        <v>200</v>
      </c>
      <c r="B17" t="s">
        <v>150</v>
      </c>
      <c r="D17" t="s">
        <v>201</v>
      </c>
      <c r="G17" t="s">
        <v>202</v>
      </c>
    </row>
    <row r="18" spans="1:8" x14ac:dyDescent="0.25">
      <c r="B18" t="s">
        <v>203</v>
      </c>
      <c r="D18" t="s">
        <v>204</v>
      </c>
      <c r="G18" t="s">
        <v>109</v>
      </c>
      <c r="H18" s="3">
        <v>5000000</v>
      </c>
    </row>
    <row r="19" spans="1:8" ht="17.25" x14ac:dyDescent="0.4">
      <c r="B19" s="20">
        <f>500000/0.2</f>
        <v>2500000</v>
      </c>
      <c r="D19" t="s">
        <v>205</v>
      </c>
      <c r="G19" t="s">
        <v>206</v>
      </c>
      <c r="H19" s="3">
        <f>-H18*0.8</f>
        <v>-4000000</v>
      </c>
    </row>
    <row r="20" spans="1:8" x14ac:dyDescent="0.25">
      <c r="D20" s="18">
        <f>500000/2500000</f>
        <v>0.2</v>
      </c>
      <c r="G20" t="s">
        <v>192</v>
      </c>
      <c r="H20" s="7">
        <f>SUM(H18:H19)</f>
        <v>1000000</v>
      </c>
    </row>
    <row r="21" spans="1:8" x14ac:dyDescent="0.25">
      <c r="G21" t="s">
        <v>207</v>
      </c>
      <c r="H21" s="24">
        <f>H22-H20</f>
        <v>-500000</v>
      </c>
    </row>
    <row r="22" spans="1:8" ht="15.75" thickBot="1" x14ac:dyDescent="0.3">
      <c r="H22" s="19">
        <v>500000</v>
      </c>
    </row>
    <row r="23" spans="1:8" ht="15.75" thickTop="1" x14ac:dyDescent="0.25">
      <c r="A23" t="s">
        <v>208</v>
      </c>
      <c r="B23" t="s">
        <v>209</v>
      </c>
    </row>
    <row r="24" spans="1:8" x14ac:dyDescent="0.25">
      <c r="B24" t="s">
        <v>210</v>
      </c>
    </row>
    <row r="25" spans="1:8" ht="17.25" x14ac:dyDescent="0.4">
      <c r="B25" s="20">
        <f>2000000/0.2</f>
        <v>10000000</v>
      </c>
    </row>
    <row r="27" spans="1:8" x14ac:dyDescent="0.25">
      <c r="A27" t="s">
        <v>211</v>
      </c>
      <c r="B27" s="3">
        <v>6000000</v>
      </c>
    </row>
    <row r="28" spans="1:8" x14ac:dyDescent="0.25">
      <c r="A28" t="s">
        <v>132</v>
      </c>
      <c r="B28" s="15">
        <f>-B27*0.8</f>
        <v>-4800000</v>
      </c>
    </row>
    <row r="29" spans="1:8" x14ac:dyDescent="0.25">
      <c r="A29" t="s">
        <v>192</v>
      </c>
      <c r="B29" s="7">
        <f>SUM(B27:B28)</f>
        <v>1200000</v>
      </c>
    </row>
    <row r="30" spans="1:8" x14ac:dyDescent="0.25">
      <c r="A30" t="s">
        <v>212</v>
      </c>
      <c r="B30" s="3">
        <v>-500000</v>
      </c>
    </row>
    <row r="31" spans="1:8" ht="15.75" thickBot="1" x14ac:dyDescent="0.3">
      <c r="A31" t="s">
        <v>187</v>
      </c>
      <c r="B31" s="9">
        <f>SUM(B29:B30)</f>
        <v>700000</v>
      </c>
    </row>
    <row r="32" spans="1:8" ht="15.75" thickTop="1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8" ma:contentTypeDescription="Create a new document." ma:contentTypeScope="" ma:versionID="ee78e4b72632758de8621c71d7cecb3a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e13ea50a332677d6ea91e655bc6929c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DEC5AC-EC31-434D-B3F2-AAD3C30709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9A2199-61C8-4DCB-A654-0307CAFF7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C72DC-88CD-48A7-8E50-9E402EF374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7ad174b-ed6a-4dd6-8157-44fc4a505f1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E1</vt:lpstr>
      <vt:lpstr>E2</vt:lpstr>
      <vt:lpstr>E3</vt:lpstr>
      <vt:lpstr>E4</vt:lpstr>
      <vt:lpstr>E5</vt:lpstr>
      <vt:lpstr>E6</vt:lpstr>
      <vt:lpstr>E7</vt:lpstr>
      <vt:lpstr>E8</vt:lpstr>
      <vt:lpstr>E10</vt:lpstr>
      <vt:lpstr>E11</vt:lpstr>
      <vt:lpstr>E12</vt:lpstr>
      <vt:lpstr>E13</vt:lpstr>
      <vt:lpstr>E14</vt:lpstr>
      <vt:lpstr>Sheet8</vt:lpstr>
      <vt:lpstr>Sheet6</vt:lpstr>
      <vt:lpstr>Q5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Sunanda Abeykoon</dc:creator>
  <cp:keywords/>
  <dc:description/>
  <cp:lastModifiedBy>System Division</cp:lastModifiedBy>
  <cp:revision/>
  <dcterms:created xsi:type="dcterms:W3CDTF">2021-10-17T11:14:09Z</dcterms:created>
  <dcterms:modified xsi:type="dcterms:W3CDTF">2022-05-03T09:27:20Z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