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utes\Professional\New 2021\CA\Hybrid\CL\AMA\Set 06\Final\"/>
    </mc:Choice>
  </mc:AlternateContent>
  <bookViews>
    <workbookView xWindow="0" yWindow="0" windowWidth="20490" windowHeight="7740"/>
  </bookViews>
  <sheets>
    <sheet name="E1" sheetId="1" r:id="rId1"/>
    <sheet name="E2" sheetId="2" r:id="rId2"/>
    <sheet name="E3" sheetId="3" r:id="rId3"/>
    <sheet name="E4" sheetId="4" r:id="rId4"/>
    <sheet name="DT" sheetId="5" r:id="rId5"/>
    <sheet name="E6" sheetId="6" r:id="rId6"/>
    <sheet name="E7" sheetId="7" r:id="rId7"/>
    <sheet name="E8" sheetId="8" r:id="rId8"/>
    <sheet name="E9" sheetId="10" r:id="rId9"/>
    <sheet name="E10" sheetId="11" r:id="rId10"/>
    <sheet name="Q1" sheetId="9" r:id="rId11"/>
    <sheet name="Q2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1" l="1"/>
  <c r="G31" i="11"/>
  <c r="F34" i="11"/>
  <c r="G34" i="11" s="1"/>
  <c r="F33" i="11"/>
  <c r="G33" i="11" s="1"/>
  <c r="F32" i="11"/>
  <c r="G32" i="11" s="1"/>
  <c r="D34" i="11"/>
  <c r="E34" i="11" s="1"/>
  <c r="D33" i="11"/>
  <c r="E33" i="11" s="1"/>
  <c r="D32" i="11"/>
  <c r="E32" i="11" s="1"/>
  <c r="E31" i="11"/>
  <c r="E35" i="11" s="1"/>
  <c r="D8" i="11"/>
  <c r="E8" i="11" s="1"/>
  <c r="E5" i="11"/>
  <c r="D7" i="11"/>
  <c r="E7" i="11" s="1"/>
  <c r="D6" i="11"/>
  <c r="E6" i="11" s="1"/>
  <c r="C16" i="11" s="1"/>
  <c r="E9" i="11" l="1"/>
  <c r="E42" i="11"/>
  <c r="E46" i="11" s="1"/>
  <c r="E43" i="11"/>
  <c r="G35" i="11"/>
  <c r="B101" i="10"/>
  <c r="B100" i="10"/>
  <c r="B99" i="10"/>
  <c r="B98" i="10"/>
  <c r="G43" i="11" l="1"/>
  <c r="E47" i="11"/>
  <c r="E50" i="11" s="1"/>
  <c r="E52" i="11" s="1"/>
  <c r="D54" i="11" s="1"/>
  <c r="D26" i="11"/>
  <c r="D23" i="11"/>
  <c r="D20" i="11"/>
  <c r="C15" i="11"/>
  <c r="E17" i="11" s="1"/>
  <c r="D12" i="11"/>
  <c r="G69" i="10"/>
  <c r="F71" i="10"/>
  <c r="G71" i="10" s="1"/>
  <c r="F70" i="10"/>
  <c r="G70" i="10" s="1"/>
  <c r="D71" i="10"/>
  <c r="E71" i="10" s="1"/>
  <c r="D70" i="10"/>
  <c r="E70" i="10" s="1"/>
  <c r="E69" i="10"/>
  <c r="D57" i="10"/>
  <c r="E57" i="10" s="1"/>
  <c r="D56" i="10"/>
  <c r="E56" i="10" s="1"/>
  <c r="G56" i="10" s="1"/>
  <c r="E55" i="10"/>
  <c r="G55" i="10" s="1"/>
  <c r="D44" i="10"/>
  <c r="E44" i="10" s="1"/>
  <c r="G44" i="10" s="1"/>
  <c r="D43" i="10"/>
  <c r="E43" i="10" s="1"/>
  <c r="F44" i="10" s="1"/>
  <c r="E42" i="10"/>
  <c r="D26" i="10"/>
  <c r="E26" i="10" s="1"/>
  <c r="D25" i="10"/>
  <c r="E25" i="10" s="1"/>
  <c r="E24" i="10"/>
  <c r="G24" i="10" s="1"/>
  <c r="C13" i="10"/>
  <c r="E13" i="10" s="1"/>
  <c r="D15" i="10"/>
  <c r="E15" i="10" s="1"/>
  <c r="D14" i="10"/>
  <c r="E14" i="10" s="1"/>
  <c r="E5" i="10"/>
  <c r="D7" i="10"/>
  <c r="E7" i="10" s="1"/>
  <c r="D6" i="10"/>
  <c r="E6" i="10" s="1"/>
  <c r="E8" i="10" l="1"/>
  <c r="G7" i="10"/>
  <c r="H7" i="10" s="1"/>
  <c r="E72" i="10"/>
  <c r="G72" i="10"/>
  <c r="G80" i="10" s="1"/>
  <c r="F26" i="10"/>
  <c r="E45" i="10"/>
  <c r="E27" i="10"/>
  <c r="I43" i="10"/>
  <c r="J43" i="10" s="1"/>
  <c r="K43" i="10" s="1"/>
  <c r="I57" i="10"/>
  <c r="J57" i="10" s="1"/>
  <c r="K57" i="10" s="1"/>
  <c r="E58" i="10"/>
  <c r="G42" i="10"/>
  <c r="E16" i="10"/>
  <c r="C66" i="9"/>
  <c r="C70" i="9" s="1"/>
  <c r="C64" i="9"/>
  <c r="C63" i="9"/>
  <c r="C62" i="9"/>
  <c r="C60" i="9"/>
  <c r="C69" i="9" s="1"/>
  <c r="C58" i="9"/>
  <c r="C57" i="9"/>
  <c r="C56" i="9"/>
  <c r="C13" i="9"/>
  <c r="C6" i="9"/>
  <c r="E80" i="10" l="1"/>
  <c r="E84" i="10" s="1"/>
  <c r="E79" i="10"/>
  <c r="E83" i="10" s="1"/>
  <c r="E87" i="10" s="1"/>
  <c r="E18" i="10"/>
  <c r="B97" i="10" s="1"/>
  <c r="F7" i="10"/>
  <c r="F6" i="10"/>
  <c r="T24" i="7"/>
  <c r="T26" i="7" s="1"/>
  <c r="S17" i="7"/>
  <c r="S16" i="7"/>
  <c r="S18" i="7" s="1"/>
  <c r="T20" i="7" s="1"/>
  <c r="T22" i="7" s="1"/>
  <c r="S5" i="7"/>
  <c r="S6" i="7"/>
  <c r="S4" i="7"/>
  <c r="S7" i="7" s="1"/>
  <c r="E89" i="10" l="1"/>
  <c r="D91" i="10" s="1"/>
  <c r="S21" i="6"/>
  <c r="R12" i="6"/>
  <c r="R11" i="6"/>
  <c r="R13" i="6" s="1"/>
  <c r="S15" i="6" s="1"/>
  <c r="S17" i="6" s="1"/>
  <c r="R7" i="6"/>
  <c r="R9" i="6" s="1"/>
  <c r="R4" i="6"/>
  <c r="R3" i="6"/>
  <c r="R2" i="6"/>
  <c r="R5" i="6" s="1"/>
  <c r="E7" i="4"/>
  <c r="D7" i="4"/>
  <c r="C7" i="4"/>
  <c r="E6" i="4"/>
  <c r="D6" i="4"/>
  <c r="C6" i="4"/>
  <c r="E5" i="4"/>
  <c r="E8" i="4" s="1"/>
  <c r="D5" i="4"/>
  <c r="C5" i="4"/>
  <c r="C8" i="4" s="1"/>
  <c r="B8" i="4"/>
  <c r="F10" i="3"/>
  <c r="F9" i="3"/>
  <c r="F8" i="3"/>
  <c r="F7" i="3"/>
  <c r="G10" i="3" s="1"/>
  <c r="G11" i="3" s="1"/>
  <c r="C9" i="3"/>
  <c r="C8" i="3"/>
  <c r="C7" i="3"/>
  <c r="D9" i="3" s="1"/>
  <c r="D11" i="3" s="1"/>
  <c r="D5" i="2"/>
  <c r="L12" i="2"/>
  <c r="L13" i="2"/>
  <c r="L14" i="2"/>
  <c r="L11" i="2"/>
  <c r="L15" i="2" s="1"/>
  <c r="K15" i="2"/>
  <c r="K8" i="2"/>
  <c r="D4" i="2"/>
  <c r="D6" i="2" s="1"/>
  <c r="D8" i="2" s="1"/>
  <c r="L6" i="2"/>
  <c r="L7" i="2"/>
  <c r="L5" i="2"/>
  <c r="L8" i="2" s="1"/>
  <c r="C6" i="1"/>
  <c r="C7" i="1"/>
  <c r="C8" i="1"/>
  <c r="C5" i="1"/>
  <c r="C9" i="1" s="1"/>
  <c r="B9" i="1"/>
  <c r="C10" i="4" l="1"/>
  <c r="D8" i="4"/>
  <c r="C11" i="4" s="1"/>
  <c r="B15" i="4" l="1"/>
  <c r="B16" i="4" s="1"/>
</calcChain>
</file>

<file path=xl/sharedStrings.xml><?xml version="1.0" encoding="utf-8"?>
<sst xmlns="http://schemas.openxmlformats.org/spreadsheetml/2006/main" count="426" uniqueCount="235">
  <si>
    <t>Exercise 01 - Expected value</t>
  </si>
  <si>
    <t>Sales Qty</t>
  </si>
  <si>
    <t>Probability</t>
  </si>
  <si>
    <t>EV</t>
  </si>
  <si>
    <t>Exercise 2 - Expected value</t>
  </si>
  <si>
    <t>Sales W1</t>
  </si>
  <si>
    <t>189,000*12</t>
  </si>
  <si>
    <t>W1 - EV of sales</t>
  </si>
  <si>
    <t>(-) Variable cost W2</t>
  </si>
  <si>
    <t>189,000*7.6</t>
  </si>
  <si>
    <t>Contribution</t>
  </si>
  <si>
    <t>(-) Fixed cost</t>
  </si>
  <si>
    <t>Profit</t>
  </si>
  <si>
    <t>W2 - EV of variable cost</t>
  </si>
  <si>
    <t>Exercise 3 - Expected Valueas</t>
  </si>
  <si>
    <t>Option C</t>
  </si>
  <si>
    <t>Option D</t>
  </si>
  <si>
    <t>Sales</t>
  </si>
  <si>
    <t>(-) EV of cost</t>
  </si>
  <si>
    <t>15,000*.29</t>
  </si>
  <si>
    <t>14,000*.03</t>
  </si>
  <si>
    <t>20,000*.54</t>
  </si>
  <si>
    <t>17,000*.3</t>
  </si>
  <si>
    <t>30,000*.17</t>
  </si>
  <si>
    <t>21,000*.35</t>
  </si>
  <si>
    <t>24,000*.32</t>
  </si>
  <si>
    <t>Expected Profit</t>
  </si>
  <si>
    <t>Choosen</t>
  </si>
  <si>
    <t>Exercise 04 - Value of perfect information</t>
  </si>
  <si>
    <t>Rs. Mn</t>
  </si>
  <si>
    <t>Probabality</t>
  </si>
  <si>
    <t>Project K</t>
  </si>
  <si>
    <t>Project L</t>
  </si>
  <si>
    <t>Project M</t>
  </si>
  <si>
    <t>Strong</t>
  </si>
  <si>
    <t>Good</t>
  </si>
  <si>
    <t>Weak</t>
  </si>
  <si>
    <t>EVPP</t>
  </si>
  <si>
    <t>4 + 1.5 + 0.7</t>
  </si>
  <si>
    <t>EVUU</t>
  </si>
  <si>
    <t>EVPI         =</t>
  </si>
  <si>
    <t>EVPP -EVUU</t>
  </si>
  <si>
    <t>6.2 - 5.69</t>
  </si>
  <si>
    <t>Mn</t>
  </si>
  <si>
    <t>Economy is good</t>
  </si>
  <si>
    <t>Meduium</t>
  </si>
  <si>
    <t>Bad</t>
  </si>
  <si>
    <t>Launch advertising campaig</t>
  </si>
  <si>
    <t>Circular - Outcome</t>
  </si>
  <si>
    <t>Economy is bad</t>
  </si>
  <si>
    <t>Square - Decision point</t>
  </si>
  <si>
    <t>Don’t Launch advertising campaig</t>
  </si>
  <si>
    <t>Exercise 5 - Decision Tree</t>
  </si>
  <si>
    <t>A</t>
  </si>
  <si>
    <t>1,200,000*0.2</t>
  </si>
  <si>
    <t>High</t>
  </si>
  <si>
    <t>1,000,000*0.5</t>
  </si>
  <si>
    <t>800,000*0.3</t>
  </si>
  <si>
    <t>Sucessful</t>
  </si>
  <si>
    <t>Medium</t>
  </si>
  <si>
    <t>B</t>
  </si>
  <si>
    <t>60,000*0.6</t>
  </si>
  <si>
    <t>Low</t>
  </si>
  <si>
    <t>0 * 0.4</t>
  </si>
  <si>
    <t>.</t>
  </si>
  <si>
    <t>Dev. Launch</t>
  </si>
  <si>
    <t>Cost Rs.600,000</t>
  </si>
  <si>
    <t>C</t>
  </si>
  <si>
    <t>980,000*75%</t>
  </si>
  <si>
    <t>Unsucessful</t>
  </si>
  <si>
    <t>Market</t>
  </si>
  <si>
    <t>36,000*25%</t>
  </si>
  <si>
    <t>D</t>
  </si>
  <si>
    <t>EV of profit</t>
  </si>
  <si>
    <t>No Market</t>
  </si>
  <si>
    <t>(-) Cost</t>
  </si>
  <si>
    <t>Net profit</t>
  </si>
  <si>
    <t>Not to dev. Launch</t>
  </si>
  <si>
    <t>Cost Rs.0</t>
  </si>
  <si>
    <t>Decision - Develop and launch the new product as it generates exppected net profit of Rs.144,000.</t>
  </si>
  <si>
    <t>Exercise 7 - Decision Tree</t>
  </si>
  <si>
    <t>-2,000,000*0.2</t>
  </si>
  <si>
    <t>2,000,000*0.5</t>
  </si>
  <si>
    <t>Test</t>
  </si>
  <si>
    <t>10,000,000*0.3</t>
  </si>
  <si>
    <t>Mkt</t>
  </si>
  <si>
    <t>Positive</t>
  </si>
  <si>
    <t>Abandon</t>
  </si>
  <si>
    <t>Sale as a crap</t>
  </si>
  <si>
    <t>Cost Rs.1Mn</t>
  </si>
  <si>
    <t>Negative</t>
  </si>
  <si>
    <t>B - 3,600,000*0.6</t>
  </si>
  <si>
    <t>C - 500,000*0.4</t>
  </si>
  <si>
    <t>E</t>
  </si>
  <si>
    <t>EV - Income</t>
  </si>
  <si>
    <t>Cost</t>
  </si>
  <si>
    <t>Decision - Test the market as it generates expected profit if Rs.1.36Mn.</t>
  </si>
  <si>
    <t>Exercise 08 - Homework</t>
  </si>
  <si>
    <t>Exercise 09 - Sesitivity Analysis</t>
  </si>
  <si>
    <t>Year</t>
  </si>
  <si>
    <t>CF Rs.Mn</t>
  </si>
  <si>
    <t>COC @ 8%</t>
  </si>
  <si>
    <t>PV</t>
  </si>
  <si>
    <t>Investment</t>
  </si>
  <si>
    <t>1-2</t>
  </si>
  <si>
    <t>Variable cost</t>
  </si>
  <si>
    <t>NPV</t>
  </si>
  <si>
    <t>1) Sensitivity of the initial investment</t>
  </si>
  <si>
    <t>NPV will become zero if initial investment is increased by Rs.1,024.69.</t>
  </si>
  <si>
    <t>% of sensitivity = 1,024.69/7,000*100</t>
  </si>
  <si>
    <t>2) Sensitivity of sales volume</t>
  </si>
  <si>
    <t>At the moment estimated sales is 650,000 units and NPV is Rs.1,024.69. In order to have zero NPV, what is the sensitivity of the sales volume.</t>
  </si>
  <si>
    <t>Required contribution to zero NPV is Rs.7,000</t>
  </si>
  <si>
    <t>Therefore required annual cash flow  should be 7,000/1.783 = Rs.3,925.967</t>
  </si>
  <si>
    <t>Present annual cash flow is (6,500-2,000) = 4,500</t>
  </si>
  <si>
    <t>Decline in the contribution 4,500-3,925.967 = 574.033</t>
  </si>
  <si>
    <t>Variable cost per unit = 2,000,000,000/650,000 = Rs.3,076.923</t>
  </si>
  <si>
    <t>Selling price per unit = 6,500,000,000/650,000 = Rs.10,000</t>
  </si>
  <si>
    <t>Contribution per unit = Rs.6,923.077</t>
  </si>
  <si>
    <t>Reduction of sales volume = 574,620,000/6,923.077 = 83,000 units</t>
  </si>
  <si>
    <t>% of sensitivity = 83,000/650,000*100 = 12.76%</t>
  </si>
  <si>
    <t>3) Sensitivity of selling price</t>
  </si>
  <si>
    <t>Requires total sale is Rs.10,566.53 for zero NPV</t>
  </si>
  <si>
    <t>Therefore required annual sales is 10,566.53/1.783 = Rs.5,925.38</t>
  </si>
  <si>
    <t>Decline in sales is 6,500-5,925.38 = 574,620,000</t>
  </si>
  <si>
    <t>Decline in selling per unit = 574,620,000/650,000 = Rs.884.02 per unit</t>
  </si>
  <si>
    <t>% of sensitivity = 884.02/10,000*100 = 8.84%</t>
  </si>
  <si>
    <t>4) Sensitivity of variable cost</t>
  </si>
  <si>
    <t>Required variable cost for zero NPV = 4,591.22</t>
  </si>
  <si>
    <t>Therefore required annual variable cost is 4,591.22/1.783 = 2,574.61</t>
  </si>
  <si>
    <t>Increase in total variable cost = 2,574.61-2,000 = 574.61</t>
  </si>
  <si>
    <t>Increase variable cost per unit = 574,610,000/650,000 = Rs.884.02</t>
  </si>
  <si>
    <t>% of sensitivity = 884.02/3,076.923*100 = 28.73%</t>
  </si>
  <si>
    <t>5) Sensitivity of cost of capital</t>
  </si>
  <si>
    <t>COC @ 20%</t>
  </si>
  <si>
    <t>IRR</t>
  </si>
  <si>
    <t>=</t>
  </si>
  <si>
    <t>+</t>
  </si>
  <si>
    <t>NPV A</t>
  </si>
  <si>
    <t>*</t>
  </si>
  <si>
    <t>B - A</t>
  </si>
  <si>
    <t>* 100</t>
  </si>
  <si>
    <t xml:space="preserve">NPV A  </t>
  </si>
  <si>
    <t>-</t>
  </si>
  <si>
    <t>NPV B</t>
  </si>
  <si>
    <t>20% - 8%</t>
  </si>
  <si>
    <t>% of sensitivity = 10.7/8*100 = 133.75%</t>
  </si>
  <si>
    <t>Ranking of sensitivity</t>
  </si>
  <si>
    <t>Ranking</t>
  </si>
  <si>
    <t>Initial investment</t>
  </si>
  <si>
    <t>Sales volume</t>
  </si>
  <si>
    <t>Selling price</t>
  </si>
  <si>
    <t>Most sensitive variable is selling price</t>
  </si>
  <si>
    <t>Exercise 10</t>
  </si>
  <si>
    <t>NCF</t>
  </si>
  <si>
    <t>Annuity Factor = 1- (1+r)^-n/r</t>
  </si>
  <si>
    <t>Income tax</t>
  </si>
  <si>
    <t>NPV+</t>
  </si>
  <si>
    <t>1_ Initial investment</t>
  </si>
  <si>
    <t>757.2/7,000*100</t>
  </si>
  <si>
    <t>2_ Sales volume</t>
  </si>
  <si>
    <t>PV of contribution</t>
  </si>
  <si>
    <t>757.2/10,342.94*100</t>
  </si>
  <si>
    <t>3_ Selling price</t>
  </si>
  <si>
    <t>757.2/13,909.47*100</t>
  </si>
  <si>
    <t>4_ Variable cost</t>
  </si>
  <si>
    <t>757.20/3,566.53*100</t>
  </si>
  <si>
    <t>5_ Income tax</t>
  </si>
  <si>
    <t>757.20/2,585.72*100</t>
  </si>
  <si>
    <t>5_ IRR</t>
  </si>
  <si>
    <t>COC @ 15%</t>
  </si>
  <si>
    <t>15% - 8%</t>
  </si>
  <si>
    <t>15.73 - 8 / 8 *100</t>
  </si>
  <si>
    <t>9.73/8*100</t>
  </si>
  <si>
    <t>Question 01</t>
  </si>
  <si>
    <t>a) i)Quote at normal price</t>
  </si>
  <si>
    <t>Probabality of winning EXE</t>
  </si>
  <si>
    <t>Probabality of winning WYE</t>
  </si>
  <si>
    <t>0.48/0.6</t>
  </si>
  <si>
    <t>Probability of winning both</t>
  </si>
  <si>
    <t>ii) Probability of losing WYE</t>
  </si>
  <si>
    <t>100% - 80% = 20%</t>
  </si>
  <si>
    <t>iii) Quote at reduced price</t>
  </si>
  <si>
    <t>0.48/0.8</t>
  </si>
  <si>
    <t>iv) Probabality of losing WYE</t>
  </si>
  <si>
    <t>100% - 60% = 40%</t>
  </si>
  <si>
    <t>b)</t>
  </si>
  <si>
    <t>Win WYE</t>
  </si>
  <si>
    <t>Rs.3,000Mn*20%</t>
  </si>
  <si>
    <t>Rs.600Mn</t>
  </si>
  <si>
    <t>Win EXE</t>
  </si>
  <si>
    <t>Lose WYE</t>
  </si>
  <si>
    <t>Rs.3,000Mn*15%</t>
  </si>
  <si>
    <t>2,000*15%</t>
  </si>
  <si>
    <t>Win WYE 40%</t>
  </si>
  <si>
    <t>Rs.450Mn</t>
  </si>
  <si>
    <t>Rs.300Mn</t>
  </si>
  <si>
    <t>Quote EXE at N. Price</t>
  </si>
  <si>
    <t>Quote WYE at N. Price</t>
  </si>
  <si>
    <t>Lose WYE 60%</t>
  </si>
  <si>
    <t>Lose EXE</t>
  </si>
  <si>
    <t>Quote WYE at R. Price</t>
  </si>
  <si>
    <t>Win WYE 50%</t>
  </si>
  <si>
    <t>Rs.450Mn-300Mn = 150Mn</t>
  </si>
  <si>
    <t>Lose WYE 50%</t>
  </si>
  <si>
    <t>Quote EXE at R. Price</t>
  </si>
  <si>
    <t>Rs.300Mn + 100Mn -200Mn</t>
  </si>
  <si>
    <t>=Rs.200Mn</t>
  </si>
  <si>
    <t>Rs.600Mn*80% + 0*20%</t>
  </si>
  <si>
    <t>Rs.450Mn*40% + 0*60%</t>
  </si>
  <si>
    <t>Rs.150Mn*50% + 0*50%</t>
  </si>
  <si>
    <t>D2</t>
  </si>
  <si>
    <t>Choose highest between C &amp; D</t>
  </si>
  <si>
    <t>(480Mn+300Mn)*60% + Rs.180*40%</t>
  </si>
  <si>
    <t>F</t>
  </si>
  <si>
    <t>Rs.600Mn*60% + 0*40%</t>
  </si>
  <si>
    <t>G</t>
  </si>
  <si>
    <t>H</t>
  </si>
  <si>
    <t>D3</t>
  </si>
  <si>
    <t>Select highest of G &amp; H</t>
  </si>
  <si>
    <t>(Rs.360Mn+Rs.200Mn)*80% + Rs.180Mn*20%</t>
  </si>
  <si>
    <t>D1</t>
  </si>
  <si>
    <t>Quote EXE @ normal price</t>
  </si>
  <si>
    <t>Decision</t>
  </si>
  <si>
    <t>Quote EXE @ reduced price</t>
  </si>
  <si>
    <t>Question 02 -  Decision tree with NPV</t>
  </si>
  <si>
    <t>3-5 years</t>
  </si>
  <si>
    <t>Rs.400Mn</t>
  </si>
  <si>
    <t>02nd year</t>
  </si>
  <si>
    <t>Invest</t>
  </si>
  <si>
    <t>Rs.150Mn</t>
  </si>
  <si>
    <t>1-2 Years</t>
  </si>
  <si>
    <t>Rs.200Mn</t>
  </si>
  <si>
    <t>No investment</t>
  </si>
  <si>
    <t>Rs.100Mn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</si>
</sst>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u val="double"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horizontal="right"/>
    </xf>
    <xf numFmtId="43" fontId="0" fillId="0" borderId="1" xfId="0" applyNumberFormat="1" applyBorder="1"/>
    <xf numFmtId="2" fontId="0" fillId="0" borderId="0" xfId="0" applyNumberFormat="1"/>
    <xf numFmtId="43" fontId="3" fillId="0" borderId="1" xfId="0" applyNumberFormat="1" applyFont="1" applyBorder="1"/>
    <xf numFmtId="43" fontId="4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43" fontId="0" fillId="0" borderId="1" xfId="1" applyFont="1" applyBorder="1"/>
    <xf numFmtId="43" fontId="0" fillId="2" borderId="1" xfId="1" applyFont="1" applyFill="1" applyBorder="1"/>
    <xf numFmtId="43" fontId="0" fillId="3" borderId="0" xfId="1" applyFont="1" applyFill="1"/>
    <xf numFmtId="43" fontId="0" fillId="0" borderId="2" xfId="1" applyFont="1" applyBorder="1"/>
    <xf numFmtId="43" fontId="0" fillId="0" borderId="0" xfId="1" applyFont="1" applyAlignment="1">
      <alignment horizontal="center"/>
    </xf>
    <xf numFmtId="43" fontId="2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quotePrefix="1"/>
    <xf numFmtId="0" fontId="5" fillId="0" borderId="0" xfId="0" applyFont="1"/>
    <xf numFmtId="3" fontId="5" fillId="0" borderId="0" xfId="0" applyNumberFormat="1" applyFont="1"/>
    <xf numFmtId="3" fontId="2" fillId="0" borderId="0" xfId="0" applyNumberFormat="1" applyFont="1"/>
    <xf numFmtId="43" fontId="5" fillId="0" borderId="0" xfId="1" applyFont="1"/>
    <xf numFmtId="43" fontId="2" fillId="0" borderId="0" xfId="1" applyFont="1"/>
    <xf numFmtId="9" fontId="0" fillId="0" borderId="1" xfId="2" applyFont="1" applyBorder="1"/>
    <xf numFmtId="9" fontId="0" fillId="2" borderId="0" xfId="2" applyFont="1" applyFill="1"/>
    <xf numFmtId="9" fontId="0" fillId="0" borderId="0" xfId="0" applyNumberFormat="1" applyAlignment="1">
      <alignment horizontal="left"/>
    </xf>
    <xf numFmtId="0" fontId="2" fillId="0" borderId="0" xfId="0" quotePrefix="1" applyFont="1"/>
    <xf numFmtId="43" fontId="2" fillId="0" borderId="2" xfId="1" applyFont="1" applyBorder="1"/>
    <xf numFmtId="43" fontId="5" fillId="0" borderId="0" xfId="0" applyNumberFormat="1" applyFont="1"/>
    <xf numFmtId="43" fontId="2" fillId="0" borderId="0" xfId="0" applyNumberFormat="1" applyFont="1"/>
    <xf numFmtId="16" fontId="0" fillId="0" borderId="0" xfId="0" quotePrefix="1" applyNumberFormat="1"/>
    <xf numFmtId="164" fontId="0" fillId="0" borderId="0" xfId="1" applyNumberFormat="1" applyFont="1"/>
    <xf numFmtId="43" fontId="3" fillId="0" borderId="1" xfId="1" applyFont="1" applyBorder="1"/>
    <xf numFmtId="9" fontId="0" fillId="0" borderId="0" xfId="2" applyFont="1"/>
    <xf numFmtId="165" fontId="0" fillId="0" borderId="0" xfId="2" applyNumberFormat="1" applyFont="1"/>
    <xf numFmtId="10" fontId="0" fillId="0" borderId="0" xfId="2" applyNumberFormat="1" applyFont="1"/>
    <xf numFmtId="10" fontId="6" fillId="0" borderId="0" xfId="2" applyNumberFormat="1" applyFont="1"/>
    <xf numFmtId="43" fontId="0" fillId="2" borderId="0" xfId="1" applyFont="1" applyFill="1"/>
    <xf numFmtId="43" fontId="2" fillId="2" borderId="0" xfId="1" applyFont="1" applyFill="1"/>
    <xf numFmtId="164" fontId="0" fillId="2" borderId="0" xfId="1" applyNumberFormat="1" applyFont="1" applyFill="1"/>
    <xf numFmtId="0" fontId="0" fillId="0" borderId="1" xfId="0" applyBorder="1"/>
    <xf numFmtId="10" fontId="0" fillId="0" borderId="0" xfId="0" applyNumberFormat="1"/>
    <xf numFmtId="10" fontId="4" fillId="0" borderId="1" xfId="0" applyNumberFormat="1" applyFont="1" applyBorder="1"/>
    <xf numFmtId="43" fontId="0" fillId="0" borderId="0" xfId="1" applyFont="1" applyFill="1"/>
    <xf numFmtId="10" fontId="2" fillId="0" borderId="1" xfId="0" applyNumberFormat="1" applyFont="1" applyBorder="1"/>
    <xf numFmtId="43" fontId="3" fillId="0" borderId="0" xfId="1" applyFont="1" applyBorder="1"/>
    <xf numFmtId="10" fontId="2" fillId="0" borderId="0" xfId="2" applyNumberFormat="1" applyFont="1"/>
    <xf numFmtId="10" fontId="7" fillId="0" borderId="0" xfId="2" applyNumberFormat="1" applyFont="1"/>
    <xf numFmtId="164" fontId="1" fillId="0" borderId="0" xfId="1" applyNumberFormat="1" applyFont="1"/>
    <xf numFmtId="0" fontId="0" fillId="0" borderId="0" xfId="0" quotePrefix="1" applyAlignment="1">
      <alignment horizontal="center"/>
    </xf>
    <xf numFmtId="3" fontId="0" fillId="0" borderId="0" xfId="0" applyNumberFormat="1"/>
    <xf numFmtId="43" fontId="0" fillId="0" borderId="3" xfId="1" applyFont="1" applyBorder="1"/>
    <xf numFmtId="43" fontId="0" fillId="0" borderId="0" xfId="1" quotePrefix="1" applyFont="1"/>
    <xf numFmtId="166" fontId="0" fillId="0" borderId="0" xfId="1" applyNumberFormat="1" applyFont="1"/>
    <xf numFmtId="10" fontId="4" fillId="0" borderId="1" xfId="2" applyNumberFormat="1" applyFont="1" applyBorder="1"/>
    <xf numFmtId="10" fontId="6" fillId="0" borderId="0" xfId="0" applyNumberFormat="1" applyFont="1"/>
    <xf numFmtId="0" fontId="8" fillId="0" borderId="0" xfId="0" applyFont="1"/>
    <xf numFmtId="16" fontId="0" fillId="0" borderId="0" xfId="0" applyNumberFormat="1" applyAlignment="1">
      <alignment horizontal="left"/>
    </xf>
    <xf numFmtId="16" fontId="0" fillId="0" borderId="0" xfId="0" quotePrefix="1" applyNumberFormat="1" applyAlignment="1">
      <alignment horizontal="left"/>
    </xf>
    <xf numFmtId="165" fontId="7" fillId="0" borderId="0" xfId="2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3" xfId="0" applyBorder="1" applyAlignment="1">
      <alignment horizontal="center"/>
    </xf>
    <xf numFmtId="43" fontId="0" fillId="0" borderId="3" xfId="0" applyNumberForma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590549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36</xdr:row>
      <xdr:rowOff>95250</xdr:rowOff>
    </xdr:from>
    <xdr:to>
      <xdr:col>2</xdr:col>
      <xdr:colOff>123825</xdr:colOff>
      <xdr:row>39</xdr:row>
      <xdr:rowOff>114300</xdr:rowOff>
    </xdr:to>
    <xdr:sp macro="" textlink="">
      <xdr:nvSpPr>
        <xdr:cNvPr id="2" name="Right Bracket 1">
          <a:extLst>
            <a:ext uri="{FF2B5EF4-FFF2-40B4-BE49-F238E27FC236}">
              <a16:creationId xmlns:a16="http://schemas.microsoft.com/office/drawing/2014/main" xmlns="" id="{19471156-0EFA-4715-BEC2-EBBFEEBB9AB9}"/>
            </a:ext>
          </a:extLst>
        </xdr:cNvPr>
        <xdr:cNvSpPr/>
      </xdr:nvSpPr>
      <xdr:spPr>
        <a:xfrm rot="10800000">
          <a:off x="1857375" y="14154150"/>
          <a:ext cx="371475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466725</xdr:colOff>
      <xdr:row>35</xdr:row>
      <xdr:rowOff>180975</xdr:rowOff>
    </xdr:from>
    <xdr:to>
      <xdr:col>8</xdr:col>
      <xdr:colOff>600075</xdr:colOff>
      <xdr:row>39</xdr:row>
      <xdr:rowOff>9525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xmlns="" id="{8578C3A7-0834-4A48-99AA-74B3993DFF0A}"/>
            </a:ext>
          </a:extLst>
        </xdr:cNvPr>
        <xdr:cNvSpPr/>
      </xdr:nvSpPr>
      <xdr:spPr>
        <a:xfrm>
          <a:off x="6667500" y="14039850"/>
          <a:ext cx="133350" cy="600075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40</xdr:row>
      <xdr:rowOff>85725</xdr:rowOff>
    </xdr:from>
    <xdr:to>
      <xdr:col>2</xdr:col>
      <xdr:colOff>123825</xdr:colOff>
      <xdr:row>43</xdr:row>
      <xdr:rowOff>104775</xdr:rowOff>
    </xdr:to>
    <xdr:sp macro="" textlink="">
      <xdr:nvSpPr>
        <xdr:cNvPr id="4" name="Right Bracket 3">
          <a:extLst>
            <a:ext uri="{FF2B5EF4-FFF2-40B4-BE49-F238E27FC236}">
              <a16:creationId xmlns:a16="http://schemas.microsoft.com/office/drawing/2014/main" xmlns="" id="{96DB58CA-15AF-4B1A-8EC5-5C4B1BAD6BAD}"/>
            </a:ext>
          </a:extLst>
        </xdr:cNvPr>
        <xdr:cNvSpPr/>
      </xdr:nvSpPr>
      <xdr:spPr>
        <a:xfrm rot="10800000">
          <a:off x="1857375" y="14906625"/>
          <a:ext cx="371475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485775</xdr:colOff>
      <xdr:row>40</xdr:row>
      <xdr:rowOff>171450</xdr:rowOff>
    </xdr:from>
    <xdr:to>
      <xdr:col>9</xdr:col>
      <xdr:colOff>9525</xdr:colOff>
      <xdr:row>44</xdr:row>
      <xdr:rowOff>0</xdr:rowOff>
    </xdr:to>
    <xdr:sp macro="" textlink="">
      <xdr:nvSpPr>
        <xdr:cNvPr id="5" name="Right Bracket 4">
          <a:extLst>
            <a:ext uri="{FF2B5EF4-FFF2-40B4-BE49-F238E27FC236}">
              <a16:creationId xmlns:a16="http://schemas.microsoft.com/office/drawing/2014/main" xmlns="" id="{52940466-D709-4DA6-9931-CE3F5EDAD331}"/>
            </a:ext>
          </a:extLst>
        </xdr:cNvPr>
        <xdr:cNvSpPr/>
      </xdr:nvSpPr>
      <xdr:spPr>
        <a:xfrm>
          <a:off x="6686550" y="14992350"/>
          <a:ext cx="2095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</xdr:colOff>
      <xdr:row>44</xdr:row>
      <xdr:rowOff>104775</xdr:rowOff>
    </xdr:from>
    <xdr:to>
      <xdr:col>2</xdr:col>
      <xdr:colOff>142875</xdr:colOff>
      <xdr:row>47</xdr:row>
      <xdr:rowOff>123825</xdr:rowOff>
    </xdr:to>
    <xdr:sp macro="" textlink="">
      <xdr:nvSpPr>
        <xdr:cNvPr id="6" name="Right Bracket 5">
          <a:extLst>
            <a:ext uri="{FF2B5EF4-FFF2-40B4-BE49-F238E27FC236}">
              <a16:creationId xmlns:a16="http://schemas.microsoft.com/office/drawing/2014/main" xmlns="" id="{CFCABB52-B043-4130-BF32-4A469FBED7CE}"/>
            </a:ext>
          </a:extLst>
        </xdr:cNvPr>
        <xdr:cNvSpPr/>
      </xdr:nvSpPr>
      <xdr:spPr>
        <a:xfrm rot="10800000">
          <a:off x="2114550" y="15687675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495300</xdr:colOff>
      <xdr:row>44</xdr:row>
      <xdr:rowOff>114300</xdr:rowOff>
    </xdr:from>
    <xdr:to>
      <xdr:col>7</xdr:col>
      <xdr:colOff>19050</xdr:colOff>
      <xdr:row>47</xdr:row>
      <xdr:rowOff>133350</xdr:rowOff>
    </xdr:to>
    <xdr:sp macro="" textlink="">
      <xdr:nvSpPr>
        <xdr:cNvPr id="7" name="Right Bracket 6">
          <a:extLst>
            <a:ext uri="{FF2B5EF4-FFF2-40B4-BE49-F238E27FC236}">
              <a16:creationId xmlns:a16="http://schemas.microsoft.com/office/drawing/2014/main" xmlns="" id="{BE0B2B43-8328-4A9B-A55C-36F6C2732C55}"/>
            </a:ext>
          </a:extLst>
        </xdr:cNvPr>
        <xdr:cNvSpPr/>
      </xdr:nvSpPr>
      <xdr:spPr>
        <a:xfrm>
          <a:off x="5381625" y="15697200"/>
          <a:ext cx="22860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276225</xdr:colOff>
      <xdr:row>48</xdr:row>
      <xdr:rowOff>123825</xdr:rowOff>
    </xdr:from>
    <xdr:to>
      <xdr:col>2</xdr:col>
      <xdr:colOff>409575</xdr:colOff>
      <xdr:row>50</xdr:row>
      <xdr:rowOff>28575</xdr:rowOff>
    </xdr:to>
    <xdr:sp macro="" textlink="">
      <xdr:nvSpPr>
        <xdr:cNvPr id="8" name="Right Bracket 7">
          <a:extLst>
            <a:ext uri="{FF2B5EF4-FFF2-40B4-BE49-F238E27FC236}">
              <a16:creationId xmlns:a16="http://schemas.microsoft.com/office/drawing/2014/main" xmlns="" id="{81366792-1576-4A95-B1EA-56810AF4E4C8}"/>
            </a:ext>
          </a:extLst>
        </xdr:cNvPr>
        <xdr:cNvSpPr/>
      </xdr:nvSpPr>
      <xdr:spPr>
        <a:xfrm rot="10800000">
          <a:off x="2381250" y="16468725"/>
          <a:ext cx="133350" cy="2857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552450</xdr:colOff>
      <xdr:row>48</xdr:row>
      <xdr:rowOff>171449</xdr:rowOff>
    </xdr:from>
    <xdr:to>
      <xdr:col>7</xdr:col>
      <xdr:colOff>28575</xdr:colOff>
      <xdr:row>50</xdr:row>
      <xdr:rowOff>66674</xdr:rowOff>
    </xdr:to>
    <xdr:sp macro="" textlink="">
      <xdr:nvSpPr>
        <xdr:cNvPr id="9" name="Right Bracket 8">
          <a:extLst>
            <a:ext uri="{FF2B5EF4-FFF2-40B4-BE49-F238E27FC236}">
              <a16:creationId xmlns:a16="http://schemas.microsoft.com/office/drawing/2014/main" xmlns="" id="{04A45487-5E84-4651-8BAD-5A942F84E693}"/>
            </a:ext>
          </a:extLst>
        </xdr:cNvPr>
        <xdr:cNvSpPr/>
      </xdr:nvSpPr>
      <xdr:spPr>
        <a:xfrm>
          <a:off x="5438775" y="16516349"/>
          <a:ext cx="180975" cy="276225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581025</xdr:colOff>
      <xdr:row>50</xdr:row>
      <xdr:rowOff>133349</xdr:rowOff>
    </xdr:from>
    <xdr:to>
      <xdr:col>5</xdr:col>
      <xdr:colOff>28575</xdr:colOff>
      <xdr:row>52</xdr:row>
      <xdr:rowOff>28574</xdr:rowOff>
    </xdr:to>
    <xdr:sp macro="" textlink="">
      <xdr:nvSpPr>
        <xdr:cNvPr id="10" name="Right Bracket 9">
          <a:extLst>
            <a:ext uri="{FF2B5EF4-FFF2-40B4-BE49-F238E27FC236}">
              <a16:creationId xmlns:a16="http://schemas.microsoft.com/office/drawing/2014/main" xmlns="" id="{517485EA-F3E0-4446-8325-EC74F314DB2D}"/>
            </a:ext>
          </a:extLst>
        </xdr:cNvPr>
        <xdr:cNvSpPr/>
      </xdr:nvSpPr>
      <xdr:spPr>
        <a:xfrm>
          <a:off x="4038600" y="16859249"/>
          <a:ext cx="133350" cy="276225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342900</xdr:colOff>
      <xdr:row>50</xdr:row>
      <xdr:rowOff>152400</xdr:rowOff>
    </xdr:from>
    <xdr:to>
      <xdr:col>2</xdr:col>
      <xdr:colOff>476250</xdr:colOff>
      <xdr:row>52</xdr:row>
      <xdr:rowOff>57150</xdr:rowOff>
    </xdr:to>
    <xdr:sp macro="" textlink="">
      <xdr:nvSpPr>
        <xdr:cNvPr id="11" name="Right Bracket 10">
          <a:extLst>
            <a:ext uri="{FF2B5EF4-FFF2-40B4-BE49-F238E27FC236}">
              <a16:creationId xmlns:a16="http://schemas.microsoft.com/office/drawing/2014/main" xmlns="" id="{DDE651B0-4A86-43C4-AEF4-CDC172AA0369}"/>
            </a:ext>
          </a:extLst>
        </xdr:cNvPr>
        <xdr:cNvSpPr/>
      </xdr:nvSpPr>
      <xdr:spPr>
        <a:xfrm rot="10800000">
          <a:off x="2447925" y="16878300"/>
          <a:ext cx="133350" cy="2857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485774</xdr:colOff>
      <xdr:row>19</xdr:row>
      <xdr:rowOff>95250</xdr:rowOff>
    </xdr:to>
    <xdr:sp macro="" textlink="">
      <xdr:nvSpPr>
        <xdr:cNvPr id="12" name="Rectangle 1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619126</xdr:colOff>
      <xdr:row>30</xdr:row>
      <xdr:rowOff>0</xdr:rowOff>
    </xdr:from>
    <xdr:to>
      <xdr:col>1</xdr:col>
      <xdr:colOff>1156608</xdr:colOff>
      <xdr:row>32</xdr:row>
      <xdr:rowOff>132443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374CADD-1F49-45EE-8D80-EDF25EC142B1}"/>
            </a:ext>
          </a:extLst>
        </xdr:cNvPr>
        <xdr:cNvSpPr/>
      </xdr:nvSpPr>
      <xdr:spPr>
        <a:xfrm>
          <a:off x="1231447" y="5870510"/>
          <a:ext cx="537482" cy="52121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D1</a:t>
          </a:r>
        </a:p>
      </xdr:txBody>
    </xdr:sp>
    <xdr:clientData/>
  </xdr:twoCellAnchor>
  <xdr:twoCellAnchor>
    <xdr:from>
      <xdr:col>3</xdr:col>
      <xdr:colOff>114300</xdr:colOff>
      <xdr:row>24</xdr:row>
      <xdr:rowOff>9524</xdr:rowOff>
    </xdr:from>
    <xdr:to>
      <xdr:col>4</xdr:col>
      <xdr:colOff>104775</xdr:colOff>
      <xdr:row>27</xdr:row>
      <xdr:rowOff>76199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F6AACBA9-CF51-40A1-AAEF-6D441B9B146F}"/>
            </a:ext>
          </a:extLst>
        </xdr:cNvPr>
        <xdr:cNvSpPr/>
      </xdr:nvSpPr>
      <xdr:spPr>
        <a:xfrm>
          <a:off x="2943225" y="4619624"/>
          <a:ext cx="600075" cy="63817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</a:rPr>
            <a:t>A</a:t>
          </a:r>
        </a:p>
        <a:p>
          <a:pPr algn="l"/>
          <a:endParaRPr lang="en-US" sz="1100"/>
        </a:p>
      </xdr:txBody>
    </xdr:sp>
    <xdr:clientData/>
  </xdr:twoCellAnchor>
  <xdr:twoCellAnchor>
    <xdr:from>
      <xdr:col>1</xdr:col>
      <xdr:colOff>1066800</xdr:colOff>
      <xdr:row>25</xdr:row>
      <xdr:rowOff>142875</xdr:rowOff>
    </xdr:from>
    <xdr:to>
      <xdr:col>3</xdr:col>
      <xdr:colOff>123825</xdr:colOff>
      <xdr:row>29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29DAAA59-5EB8-B602-9CE1-3FCC0E4EAFA2}"/>
            </a:ext>
          </a:extLst>
        </xdr:cNvPr>
        <xdr:cNvCxnSpPr/>
      </xdr:nvCxnSpPr>
      <xdr:spPr>
        <a:xfrm flipV="1">
          <a:off x="1676400" y="4943475"/>
          <a:ext cx="1571625" cy="800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1019175</xdr:colOff>
      <xdr:row>32</xdr:row>
      <xdr:rowOff>142875</xdr:rowOff>
    </xdr:from>
    <xdr:to>
      <xdr:col>3</xdr:col>
      <xdr:colOff>190500</xdr:colOff>
      <xdr:row>40</xdr:row>
      <xdr:rowOff>171450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DCD89C30-F1F8-4446-89F8-9DEA9E30F8F4}"/>
            </a:ext>
          </a:extLst>
        </xdr:cNvPr>
        <xdr:cNvCxnSpPr/>
      </xdr:nvCxnSpPr>
      <xdr:spPr>
        <a:xfrm>
          <a:off x="1628775" y="6276975"/>
          <a:ext cx="1390650" cy="1552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97194</xdr:colOff>
      <xdr:row>21</xdr:row>
      <xdr:rowOff>161925</xdr:rowOff>
    </xdr:from>
    <xdr:to>
      <xdr:col>5</xdr:col>
      <xdr:colOff>514350</xdr:colOff>
      <xdr:row>24</xdr:row>
      <xdr:rowOff>87474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30BCE34A-AC43-4926-9BEC-53AD43C4853F}"/>
            </a:ext>
          </a:extLst>
        </xdr:cNvPr>
        <xdr:cNvCxnSpPr/>
      </xdr:nvCxnSpPr>
      <xdr:spPr>
        <a:xfrm flipV="1">
          <a:off x="3547577" y="4282945"/>
          <a:ext cx="1029477" cy="5087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16896</xdr:colOff>
      <xdr:row>26</xdr:row>
      <xdr:rowOff>173240</xdr:rowOff>
    </xdr:from>
    <xdr:to>
      <xdr:col>5</xdr:col>
      <xdr:colOff>533400</xdr:colOff>
      <xdr:row>28</xdr:row>
      <xdr:rowOff>123825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39A63934-4085-4E54-B5CF-15D039E00BF7}"/>
            </a:ext>
          </a:extLst>
        </xdr:cNvPr>
        <xdr:cNvCxnSpPr>
          <a:stCxn id="3" idx="5"/>
        </xdr:cNvCxnSpPr>
      </xdr:nvCxnSpPr>
      <xdr:spPr>
        <a:xfrm>
          <a:off x="3455421" y="5164340"/>
          <a:ext cx="1126104" cy="3315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552450</xdr:colOff>
      <xdr:row>19</xdr:row>
      <xdr:rowOff>38099</xdr:rowOff>
    </xdr:from>
    <xdr:to>
      <xdr:col>6</xdr:col>
      <xdr:colOff>447092</xdr:colOff>
      <xdr:row>22</xdr:row>
      <xdr:rowOff>104774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xmlns="" id="{AA81F65F-F837-4ED9-BA7E-CEE98F27B203}"/>
            </a:ext>
          </a:extLst>
        </xdr:cNvPr>
        <xdr:cNvSpPr/>
      </xdr:nvSpPr>
      <xdr:spPr>
        <a:xfrm>
          <a:off x="5625970" y="3770344"/>
          <a:ext cx="798545" cy="649838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</a:rPr>
            <a:t>B</a:t>
          </a:r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523875</xdr:colOff>
      <xdr:row>17</xdr:row>
      <xdr:rowOff>161925</xdr:rowOff>
    </xdr:from>
    <xdr:to>
      <xdr:col>8</xdr:col>
      <xdr:colOff>333375</xdr:colOff>
      <xdr:row>20</xdr:row>
      <xdr:rowOff>95250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9F14F3D7-C57E-45C5-8059-0C272F4644B5}"/>
            </a:ext>
          </a:extLst>
        </xdr:cNvPr>
        <xdr:cNvCxnSpPr/>
      </xdr:nvCxnSpPr>
      <xdr:spPr>
        <a:xfrm flipV="1">
          <a:off x="5181600" y="3438525"/>
          <a:ext cx="1028700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502671</xdr:colOff>
      <xdr:row>20</xdr:row>
      <xdr:rowOff>182765</xdr:rowOff>
    </xdr:from>
    <xdr:to>
      <xdr:col>8</xdr:col>
      <xdr:colOff>409575</xdr:colOff>
      <xdr:row>22</xdr:row>
      <xdr:rowOff>133350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xmlns="" id="{AD0F348D-C081-4628-A619-2AE2F982A761}"/>
            </a:ext>
          </a:extLst>
        </xdr:cNvPr>
        <xdr:cNvCxnSpPr/>
      </xdr:nvCxnSpPr>
      <xdr:spPr>
        <a:xfrm>
          <a:off x="5160396" y="4030865"/>
          <a:ext cx="1126104" cy="3315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748393</xdr:colOff>
      <xdr:row>27</xdr:row>
      <xdr:rowOff>123825</xdr:rowOff>
    </xdr:from>
    <xdr:to>
      <xdr:col>6</xdr:col>
      <xdr:colOff>438150</xdr:colOff>
      <xdr:row>30</xdr:row>
      <xdr:rowOff>65768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2538A985-C3AD-4646-9AD0-E7A45747300C}"/>
            </a:ext>
          </a:extLst>
        </xdr:cNvPr>
        <xdr:cNvSpPr/>
      </xdr:nvSpPr>
      <xdr:spPr>
        <a:xfrm>
          <a:off x="4811097" y="5411172"/>
          <a:ext cx="593660" cy="52510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D2</a:t>
          </a:r>
        </a:p>
      </xdr:txBody>
    </xdr:sp>
    <xdr:clientData/>
  </xdr:twoCellAnchor>
  <xdr:twoCellAnchor>
    <xdr:from>
      <xdr:col>6</xdr:col>
      <xdr:colOff>476250</xdr:colOff>
      <xdr:row>26</xdr:row>
      <xdr:rowOff>85725</xdr:rowOff>
    </xdr:from>
    <xdr:to>
      <xdr:col>8</xdr:col>
      <xdr:colOff>352425</xdr:colOff>
      <xdr:row>28</xdr:row>
      <xdr:rowOff>142875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xmlns="" id="{5E988DEB-8D41-4C5F-8526-44B9C7F724EE}"/>
            </a:ext>
          </a:extLst>
        </xdr:cNvPr>
        <xdr:cNvCxnSpPr/>
      </xdr:nvCxnSpPr>
      <xdr:spPr>
        <a:xfrm flipV="1">
          <a:off x="5133975" y="5076825"/>
          <a:ext cx="1095375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29</xdr:row>
      <xdr:rowOff>47625</xdr:rowOff>
    </xdr:from>
    <xdr:to>
      <xdr:col>8</xdr:col>
      <xdr:colOff>352425</xdr:colOff>
      <xdr:row>31</xdr:row>
      <xdr:rowOff>85725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xmlns="" id="{980D7260-7BEB-4F7E-A996-5557B75E1529}"/>
            </a:ext>
          </a:extLst>
        </xdr:cNvPr>
        <xdr:cNvCxnSpPr/>
      </xdr:nvCxnSpPr>
      <xdr:spPr>
        <a:xfrm>
          <a:off x="5105400" y="5610225"/>
          <a:ext cx="112395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352425</xdr:colOff>
      <xdr:row>24</xdr:row>
      <xdr:rowOff>104774</xdr:rowOff>
    </xdr:from>
    <xdr:to>
      <xdr:col>9</xdr:col>
      <xdr:colOff>342900</xdr:colOff>
      <xdr:row>27</xdr:row>
      <xdr:rowOff>171449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xmlns="" id="{600CDCEF-FA8B-4F83-AAE3-249A8E882605}"/>
            </a:ext>
          </a:extLst>
        </xdr:cNvPr>
        <xdr:cNvSpPr/>
      </xdr:nvSpPr>
      <xdr:spPr>
        <a:xfrm>
          <a:off x="6229350" y="4714874"/>
          <a:ext cx="600075" cy="63817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</a:rPr>
            <a:t>C</a:t>
          </a:r>
        </a:p>
        <a:p>
          <a:pPr algn="l"/>
          <a:endParaRPr lang="en-US" sz="1100"/>
        </a:p>
      </xdr:txBody>
    </xdr:sp>
    <xdr:clientData/>
  </xdr:twoCellAnchor>
  <xdr:twoCellAnchor>
    <xdr:from>
      <xdr:col>9</xdr:col>
      <xdr:colOff>314325</xdr:colOff>
      <xdr:row>22</xdr:row>
      <xdr:rowOff>104775</xdr:rowOff>
    </xdr:from>
    <xdr:to>
      <xdr:col>11</xdr:col>
      <xdr:colOff>114300</xdr:colOff>
      <xdr:row>25</xdr:row>
      <xdr:rowOff>76200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xmlns="" id="{311E23BF-6D67-4D56-B0BA-E179EB2E77DF}"/>
            </a:ext>
          </a:extLst>
        </xdr:cNvPr>
        <xdr:cNvCxnSpPr/>
      </xdr:nvCxnSpPr>
      <xdr:spPr>
        <a:xfrm flipV="1">
          <a:off x="6800850" y="4333875"/>
          <a:ext cx="1685925" cy="542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321696</xdr:colOff>
      <xdr:row>26</xdr:row>
      <xdr:rowOff>125615</xdr:rowOff>
    </xdr:from>
    <xdr:to>
      <xdr:col>11</xdr:col>
      <xdr:colOff>228600</xdr:colOff>
      <xdr:row>27</xdr:row>
      <xdr:rowOff>161925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xmlns="" id="{FA2EFDA4-CCF8-4D5C-A7DF-8B7FF9B2D766}"/>
            </a:ext>
          </a:extLst>
        </xdr:cNvPr>
        <xdr:cNvCxnSpPr/>
      </xdr:nvCxnSpPr>
      <xdr:spPr>
        <a:xfrm>
          <a:off x="6808221" y="5116715"/>
          <a:ext cx="1792854" cy="2268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30</xdr:row>
      <xdr:rowOff>19049</xdr:rowOff>
    </xdr:from>
    <xdr:to>
      <xdr:col>9</xdr:col>
      <xdr:colOff>400050</xdr:colOff>
      <xdr:row>33</xdr:row>
      <xdr:rowOff>85724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xmlns="" id="{14F5BFE7-E12B-4D69-B47A-807A2B6BB685}"/>
            </a:ext>
          </a:extLst>
        </xdr:cNvPr>
        <xdr:cNvSpPr/>
      </xdr:nvSpPr>
      <xdr:spPr>
        <a:xfrm>
          <a:off x="6286500" y="5772149"/>
          <a:ext cx="600075" cy="63817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</a:rPr>
            <a:t>D</a:t>
          </a:r>
        </a:p>
        <a:p>
          <a:pPr algn="l"/>
          <a:endParaRPr lang="en-US" sz="1100"/>
        </a:p>
      </xdr:txBody>
    </xdr:sp>
    <xdr:clientData/>
  </xdr:twoCellAnchor>
  <xdr:twoCellAnchor>
    <xdr:from>
      <xdr:col>9</xdr:col>
      <xdr:colOff>400050</xdr:colOff>
      <xdr:row>30</xdr:row>
      <xdr:rowOff>47625</xdr:rowOff>
    </xdr:from>
    <xdr:to>
      <xdr:col>11</xdr:col>
      <xdr:colOff>133350</xdr:colOff>
      <xdr:row>31</xdr:row>
      <xdr:rowOff>152400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xmlns="" id="{C29257E9-0B42-45C4-8118-70BD5009A545}"/>
            </a:ext>
          </a:extLst>
        </xdr:cNvPr>
        <xdr:cNvCxnSpPr/>
      </xdr:nvCxnSpPr>
      <xdr:spPr>
        <a:xfrm flipV="1">
          <a:off x="6886575" y="5800725"/>
          <a:ext cx="161925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32</xdr:row>
      <xdr:rowOff>114300</xdr:rowOff>
    </xdr:from>
    <xdr:to>
      <xdr:col>11</xdr:col>
      <xdr:colOff>142875</xdr:colOff>
      <xdr:row>34</xdr:row>
      <xdr:rowOff>180975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xmlns="" id="{9CFB8C7B-6E8A-4BDA-9AD0-77E78AFD0017}"/>
            </a:ext>
          </a:extLst>
        </xdr:cNvPr>
        <xdr:cNvCxnSpPr/>
      </xdr:nvCxnSpPr>
      <xdr:spPr>
        <a:xfrm>
          <a:off x="6877050" y="6248400"/>
          <a:ext cx="1638300" cy="447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40</xdr:row>
      <xdr:rowOff>19049</xdr:rowOff>
    </xdr:from>
    <xdr:to>
      <xdr:col>4</xdr:col>
      <xdr:colOff>152400</xdr:colOff>
      <xdr:row>43</xdr:row>
      <xdr:rowOff>85724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xmlns="" id="{A97A5D6D-3A04-4F5C-B97E-637E8295D717}"/>
            </a:ext>
          </a:extLst>
        </xdr:cNvPr>
        <xdr:cNvSpPr/>
      </xdr:nvSpPr>
      <xdr:spPr>
        <a:xfrm>
          <a:off x="2990850" y="7677149"/>
          <a:ext cx="600075" cy="63817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</a:rPr>
            <a:t>E</a:t>
          </a:r>
        </a:p>
        <a:p>
          <a:pPr algn="l"/>
          <a:endParaRPr lang="en-US" sz="1100"/>
        </a:p>
      </xdr:txBody>
    </xdr:sp>
    <xdr:clientData/>
  </xdr:twoCellAnchor>
  <xdr:twoCellAnchor>
    <xdr:from>
      <xdr:col>4</xdr:col>
      <xdr:colOff>152400</xdr:colOff>
      <xdr:row>40</xdr:row>
      <xdr:rowOff>114300</xdr:rowOff>
    </xdr:from>
    <xdr:to>
      <xdr:col>6</xdr:col>
      <xdr:colOff>85725</xdr:colOff>
      <xdr:row>42</xdr:row>
      <xdr:rowOff>9525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xmlns="" id="{07653402-4A12-4442-852B-665CA2C34552}"/>
            </a:ext>
          </a:extLst>
        </xdr:cNvPr>
        <xdr:cNvCxnSpPr/>
      </xdr:nvCxnSpPr>
      <xdr:spPr>
        <a:xfrm flipV="1">
          <a:off x="3590925" y="7772400"/>
          <a:ext cx="1152525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121671</xdr:colOff>
      <xdr:row>42</xdr:row>
      <xdr:rowOff>49415</xdr:rowOff>
    </xdr:from>
    <xdr:to>
      <xdr:col>6</xdr:col>
      <xdr:colOff>14008</xdr:colOff>
      <xdr:row>46</xdr:row>
      <xdr:rowOff>182096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xmlns="" id="{C5A72C3E-348B-4B7A-8D47-6B37D474DBD1}"/>
            </a:ext>
          </a:extLst>
        </xdr:cNvPr>
        <xdr:cNvCxnSpPr/>
      </xdr:nvCxnSpPr>
      <xdr:spPr>
        <a:xfrm>
          <a:off x="3581487" y="8285739"/>
          <a:ext cx="1124984" cy="9170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38</xdr:row>
      <xdr:rowOff>171450</xdr:rowOff>
    </xdr:from>
    <xdr:to>
      <xdr:col>7</xdr:col>
      <xdr:colOff>95250</xdr:colOff>
      <xdr:row>42</xdr:row>
      <xdr:rowOff>47625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xmlns="" id="{5019018B-5DEC-485B-BA61-DC6B9DDA7E72}"/>
            </a:ext>
          </a:extLst>
        </xdr:cNvPr>
        <xdr:cNvSpPr/>
      </xdr:nvSpPr>
      <xdr:spPr>
        <a:xfrm>
          <a:off x="4762500" y="7448550"/>
          <a:ext cx="600075" cy="63817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</a:rPr>
            <a:t>F</a:t>
          </a:r>
        </a:p>
        <a:p>
          <a:pPr algn="l"/>
          <a:endParaRPr lang="en-US" sz="1100"/>
        </a:p>
      </xdr:txBody>
    </xdr:sp>
    <xdr:clientData/>
  </xdr:twoCellAnchor>
  <xdr:twoCellAnchor>
    <xdr:from>
      <xdr:col>7</xdr:col>
      <xdr:colOff>76200</xdr:colOff>
      <xdr:row>38</xdr:row>
      <xdr:rowOff>47625</xdr:rowOff>
    </xdr:from>
    <xdr:to>
      <xdr:col>8</xdr:col>
      <xdr:colOff>552450</xdr:colOff>
      <xdr:row>39</xdr:row>
      <xdr:rowOff>171450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xmlns="" id="{74FA304C-BF79-4725-928B-40E4ADB06AD9}"/>
            </a:ext>
          </a:extLst>
        </xdr:cNvPr>
        <xdr:cNvCxnSpPr/>
      </xdr:nvCxnSpPr>
      <xdr:spPr>
        <a:xfrm flipV="1">
          <a:off x="5343525" y="7324725"/>
          <a:ext cx="1085850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41</xdr:row>
      <xdr:rowOff>19050</xdr:rowOff>
    </xdr:from>
    <xdr:to>
      <xdr:col>8</xdr:col>
      <xdr:colOff>571500</xdr:colOff>
      <xdr:row>42</xdr:row>
      <xdr:rowOff>161925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xmlns="" id="{D00B166D-B1E3-4AD0-84F2-2A0005971F0D}"/>
            </a:ext>
          </a:extLst>
        </xdr:cNvPr>
        <xdr:cNvCxnSpPr/>
      </xdr:nvCxnSpPr>
      <xdr:spPr>
        <a:xfrm>
          <a:off x="5334000" y="7867650"/>
          <a:ext cx="1114425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46</xdr:row>
      <xdr:rowOff>105895</xdr:rowOff>
    </xdr:from>
    <xdr:to>
      <xdr:col>6</xdr:col>
      <xdr:colOff>583162</xdr:colOff>
      <xdr:row>49</xdr:row>
      <xdr:rowOff>47838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xmlns="" id="{552D5396-3C97-4987-8EDA-E42242EEF4F7}"/>
            </a:ext>
          </a:extLst>
        </xdr:cNvPr>
        <xdr:cNvSpPr/>
      </xdr:nvSpPr>
      <xdr:spPr>
        <a:xfrm>
          <a:off x="5014232" y="9086609"/>
          <a:ext cx="535537" cy="52510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D3</a:t>
          </a:r>
        </a:p>
      </xdr:txBody>
    </xdr:sp>
    <xdr:clientData/>
  </xdr:twoCellAnchor>
  <xdr:twoCellAnchor>
    <xdr:from>
      <xdr:col>6</xdr:col>
      <xdr:colOff>544286</xdr:colOff>
      <xdr:row>46</xdr:row>
      <xdr:rowOff>171449</xdr:rowOff>
    </xdr:from>
    <xdr:to>
      <xdr:col>9</xdr:col>
      <xdr:colOff>113179</xdr:colOff>
      <xdr:row>48</xdr:row>
      <xdr:rowOff>9719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xmlns="" id="{6DC5B60A-E13C-4078-84F0-E0BAACE9F483}"/>
            </a:ext>
          </a:extLst>
        </xdr:cNvPr>
        <xdr:cNvCxnSpPr/>
      </xdr:nvCxnSpPr>
      <xdr:spPr>
        <a:xfrm flipV="1">
          <a:off x="5510893" y="9152163"/>
          <a:ext cx="1483613" cy="22704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495689</xdr:colOff>
      <xdr:row>48</xdr:row>
      <xdr:rowOff>174949</xdr:rowOff>
    </xdr:from>
    <xdr:to>
      <xdr:col>9</xdr:col>
      <xdr:colOff>6162</xdr:colOff>
      <xdr:row>51</xdr:row>
      <xdr:rowOff>113179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xmlns="" id="{45863529-4537-4225-820D-F22B2018853E}"/>
            </a:ext>
          </a:extLst>
        </xdr:cNvPr>
        <xdr:cNvCxnSpPr/>
      </xdr:nvCxnSpPr>
      <xdr:spPr>
        <a:xfrm>
          <a:off x="5462296" y="9544439"/>
          <a:ext cx="1425193" cy="52139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44</xdr:row>
      <xdr:rowOff>179294</xdr:rowOff>
    </xdr:from>
    <xdr:to>
      <xdr:col>10</xdr:col>
      <xdr:colOff>38100</xdr:colOff>
      <xdr:row>48</xdr:row>
      <xdr:rowOff>49866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xmlns="" id="{A19A15D4-A807-433F-9194-5140A32A073B}"/>
            </a:ext>
          </a:extLst>
        </xdr:cNvPr>
        <xdr:cNvSpPr/>
      </xdr:nvSpPr>
      <xdr:spPr>
        <a:xfrm>
          <a:off x="6589059" y="8807823"/>
          <a:ext cx="606798" cy="654984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</a:rPr>
            <a:t>G</a:t>
          </a:r>
        </a:p>
        <a:p>
          <a:pPr algn="l"/>
          <a:endParaRPr lang="en-US" sz="1100"/>
        </a:p>
      </xdr:txBody>
    </xdr:sp>
    <xdr:clientData/>
  </xdr:twoCellAnchor>
  <xdr:twoCellAnchor>
    <xdr:from>
      <xdr:col>8</xdr:col>
      <xdr:colOff>613522</xdr:colOff>
      <xdr:row>50</xdr:row>
      <xdr:rowOff>171449</xdr:rowOff>
    </xdr:from>
    <xdr:to>
      <xdr:col>9</xdr:col>
      <xdr:colOff>603997</xdr:colOff>
      <xdr:row>54</xdr:row>
      <xdr:rowOff>47624</xdr:rowOff>
    </xdr:to>
    <xdr:sp macro="" textlink="">
      <xdr:nvSpPr>
        <xdr:cNvPr id="67" name="Oval 66">
          <a:extLst>
            <a:ext uri="{FF2B5EF4-FFF2-40B4-BE49-F238E27FC236}">
              <a16:creationId xmlns:a16="http://schemas.microsoft.com/office/drawing/2014/main" xmlns="" id="{388CCE35-8C51-422E-BFD9-5A56926A3DF1}"/>
            </a:ext>
          </a:extLst>
        </xdr:cNvPr>
        <xdr:cNvSpPr/>
      </xdr:nvSpPr>
      <xdr:spPr>
        <a:xfrm>
          <a:off x="6538632" y="9976596"/>
          <a:ext cx="606799" cy="660587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</a:rPr>
            <a:t>H</a:t>
          </a:r>
        </a:p>
        <a:p>
          <a:pPr algn="l"/>
          <a:endParaRPr lang="en-US" sz="1100"/>
        </a:p>
      </xdr:txBody>
    </xdr:sp>
    <xdr:clientData/>
  </xdr:twoCellAnchor>
  <xdr:twoCellAnchor>
    <xdr:from>
      <xdr:col>10</xdr:col>
      <xdr:colOff>21292</xdr:colOff>
      <xdr:row>42</xdr:row>
      <xdr:rowOff>187698</xdr:rowOff>
    </xdr:from>
    <xdr:to>
      <xdr:col>11</xdr:col>
      <xdr:colOff>437590</xdr:colOff>
      <xdr:row>45</xdr:row>
      <xdr:rowOff>159124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xmlns="" id="{2DCBA057-B6A0-40D3-90EF-3B2B72049E8A}"/>
            </a:ext>
          </a:extLst>
        </xdr:cNvPr>
        <xdr:cNvCxnSpPr/>
      </xdr:nvCxnSpPr>
      <xdr:spPr>
        <a:xfrm flipV="1">
          <a:off x="7179049" y="8424022"/>
          <a:ext cx="1690967" cy="5597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42670</xdr:colOff>
      <xdr:row>46</xdr:row>
      <xdr:rowOff>144105</xdr:rowOff>
    </xdr:from>
    <xdr:to>
      <xdr:col>11</xdr:col>
      <xdr:colOff>434228</xdr:colOff>
      <xdr:row>47</xdr:row>
      <xdr:rowOff>168088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xmlns="" id="{53387F31-A3AD-46AB-83A6-E9BA554AF495}"/>
            </a:ext>
          </a:extLst>
        </xdr:cNvPr>
        <xdr:cNvCxnSpPr/>
      </xdr:nvCxnSpPr>
      <xdr:spPr>
        <a:xfrm>
          <a:off x="7200427" y="9164840"/>
          <a:ext cx="1666227" cy="2200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50</xdr:row>
      <xdr:rowOff>154081</xdr:rowOff>
    </xdr:from>
    <xdr:to>
      <xdr:col>11</xdr:col>
      <xdr:colOff>308162</xdr:colOff>
      <xdr:row>52</xdr:row>
      <xdr:rowOff>20731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xmlns="" id="{2F3A58BA-4B14-40AD-813F-5AC817D353DA}"/>
            </a:ext>
          </a:extLst>
        </xdr:cNvPr>
        <xdr:cNvCxnSpPr/>
      </xdr:nvCxnSpPr>
      <xdr:spPr>
        <a:xfrm flipV="1">
          <a:off x="7157757" y="9959228"/>
          <a:ext cx="1582831" cy="25885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546286</xdr:colOff>
      <xdr:row>53</xdr:row>
      <xdr:rowOff>112059</xdr:rowOff>
    </xdr:from>
    <xdr:to>
      <xdr:col>11</xdr:col>
      <xdr:colOff>196103</xdr:colOff>
      <xdr:row>55</xdr:row>
      <xdr:rowOff>28014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xmlns="" id="{CC4AC002-991E-4646-9B8D-CCE141731034}"/>
            </a:ext>
          </a:extLst>
        </xdr:cNvPr>
        <xdr:cNvCxnSpPr/>
      </xdr:nvCxnSpPr>
      <xdr:spPr>
        <a:xfrm>
          <a:off x="7087720" y="10505515"/>
          <a:ext cx="1540809" cy="30816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241234</xdr:colOff>
      <xdr:row>19</xdr:row>
      <xdr:rowOff>1555</xdr:rowOff>
    </xdr:to>
    <xdr:sp macro="" textlink="">
      <xdr:nvSpPr>
        <xdr:cNvPr id="35" name="Rectangle 34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21</xdr:row>
      <xdr:rowOff>171450</xdr:rowOff>
    </xdr:from>
    <xdr:to>
      <xdr:col>1</xdr:col>
      <xdr:colOff>527957</xdr:colOff>
      <xdr:row>24</xdr:row>
      <xdr:rowOff>121169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DF1ACB3E-3694-410B-B77B-86876B382E33}"/>
            </a:ext>
          </a:extLst>
        </xdr:cNvPr>
        <xdr:cNvSpPr/>
      </xdr:nvSpPr>
      <xdr:spPr>
        <a:xfrm>
          <a:off x="600075" y="2838450"/>
          <a:ext cx="537482" cy="52121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D</a:t>
          </a:r>
        </a:p>
      </xdr:txBody>
    </xdr:sp>
    <xdr:clientData/>
  </xdr:twoCellAnchor>
  <xdr:twoCellAnchor>
    <xdr:from>
      <xdr:col>3</xdr:col>
      <xdr:colOff>400050</xdr:colOff>
      <xdr:row>14</xdr:row>
      <xdr:rowOff>161925</xdr:rowOff>
    </xdr:from>
    <xdr:to>
      <xdr:col>4</xdr:col>
      <xdr:colOff>393246</xdr:colOff>
      <xdr:row>18</xdr:row>
      <xdr:rowOff>49763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617E0C42-547F-44C2-A08B-9E5AFF86A45F}"/>
            </a:ext>
          </a:extLst>
        </xdr:cNvPr>
        <xdr:cNvSpPr/>
      </xdr:nvSpPr>
      <xdr:spPr>
        <a:xfrm>
          <a:off x="2228850" y="1495425"/>
          <a:ext cx="602796" cy="649838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400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3</xdr:col>
      <xdr:colOff>409575</xdr:colOff>
      <xdr:row>27</xdr:row>
      <xdr:rowOff>142875</xdr:rowOff>
    </xdr:from>
    <xdr:to>
      <xdr:col>4</xdr:col>
      <xdr:colOff>402771</xdr:colOff>
      <xdr:row>31</xdr:row>
      <xdr:rowOff>30713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ACECC2E3-7743-420B-B789-1372EAF48830}"/>
            </a:ext>
          </a:extLst>
        </xdr:cNvPr>
        <xdr:cNvSpPr/>
      </xdr:nvSpPr>
      <xdr:spPr>
        <a:xfrm>
          <a:off x="2238375" y="3952875"/>
          <a:ext cx="602796" cy="649838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400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1</xdr:col>
      <xdr:colOff>561975</xdr:colOff>
      <xdr:row>17</xdr:row>
      <xdr:rowOff>145096</xdr:rowOff>
    </xdr:from>
    <xdr:to>
      <xdr:col>3</xdr:col>
      <xdr:colOff>488327</xdr:colOff>
      <xdr:row>21</xdr:row>
      <xdr:rowOff>161925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70B7C0E6-C114-6936-80E9-B8B6319B6418}"/>
            </a:ext>
          </a:extLst>
        </xdr:cNvPr>
        <xdr:cNvCxnSpPr>
          <a:endCxn id="3" idx="3"/>
        </xdr:cNvCxnSpPr>
      </xdr:nvCxnSpPr>
      <xdr:spPr>
        <a:xfrm flipV="1">
          <a:off x="1171575" y="2050096"/>
          <a:ext cx="1145552" cy="7788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24</xdr:row>
      <xdr:rowOff>152400</xdr:rowOff>
    </xdr:from>
    <xdr:to>
      <xdr:col>3</xdr:col>
      <xdr:colOff>409575</xdr:colOff>
      <xdr:row>29</xdr:row>
      <xdr:rowOff>86794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DB144029-FDD9-440C-8CF2-A38B7F89F604}"/>
            </a:ext>
          </a:extLst>
        </xdr:cNvPr>
        <xdr:cNvCxnSpPr>
          <a:endCxn id="4" idx="2"/>
        </xdr:cNvCxnSpPr>
      </xdr:nvCxnSpPr>
      <xdr:spPr>
        <a:xfrm>
          <a:off x="1152525" y="3390900"/>
          <a:ext cx="1085850" cy="8868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10</xdr:row>
      <xdr:rowOff>0</xdr:rowOff>
    </xdr:from>
    <xdr:to>
      <xdr:col>7</xdr:col>
      <xdr:colOff>498021</xdr:colOff>
      <xdr:row>12</xdr:row>
      <xdr:rowOff>173588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xmlns="" id="{E9DE5581-D5C4-49DE-948C-CD89F129E2B3}"/>
            </a:ext>
          </a:extLst>
        </xdr:cNvPr>
        <xdr:cNvSpPr/>
      </xdr:nvSpPr>
      <xdr:spPr>
        <a:xfrm>
          <a:off x="4162425" y="476250"/>
          <a:ext cx="602796" cy="649838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400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457200</xdr:colOff>
      <xdr:row>17</xdr:row>
      <xdr:rowOff>180975</xdr:rowOff>
    </xdr:from>
    <xdr:to>
      <xdr:col>7</xdr:col>
      <xdr:colOff>450396</xdr:colOff>
      <xdr:row>21</xdr:row>
      <xdr:rowOff>68813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6E411B31-C416-4A66-997E-EE7A6438ECEE}"/>
            </a:ext>
          </a:extLst>
        </xdr:cNvPr>
        <xdr:cNvSpPr/>
      </xdr:nvSpPr>
      <xdr:spPr>
        <a:xfrm>
          <a:off x="4114800" y="2085975"/>
          <a:ext cx="602796" cy="649838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400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4</xdr:col>
      <xdr:colOff>390525</xdr:colOff>
      <xdr:row>11</xdr:row>
      <xdr:rowOff>161925</xdr:rowOff>
    </xdr:from>
    <xdr:to>
      <xdr:col>6</xdr:col>
      <xdr:colOff>514350</xdr:colOff>
      <xdr:row>15</xdr:row>
      <xdr:rowOff>161925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F5D68913-79F8-4740-9012-0017F788D657}"/>
            </a:ext>
          </a:extLst>
        </xdr:cNvPr>
        <xdr:cNvCxnSpPr/>
      </xdr:nvCxnSpPr>
      <xdr:spPr>
        <a:xfrm flipV="1">
          <a:off x="2828925" y="923925"/>
          <a:ext cx="1343025" cy="762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17</xdr:row>
      <xdr:rowOff>57150</xdr:rowOff>
    </xdr:from>
    <xdr:to>
      <xdr:col>6</xdr:col>
      <xdr:colOff>457200</xdr:colOff>
      <xdr:row>19</xdr:row>
      <xdr:rowOff>124894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C84F4745-11C7-497D-BDF7-8FB27B0E680B}"/>
            </a:ext>
          </a:extLst>
        </xdr:cNvPr>
        <xdr:cNvCxnSpPr>
          <a:endCxn id="11" idx="2"/>
        </xdr:cNvCxnSpPr>
      </xdr:nvCxnSpPr>
      <xdr:spPr>
        <a:xfrm>
          <a:off x="2819400" y="1962150"/>
          <a:ext cx="1295400" cy="4487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402771</xdr:colOff>
      <xdr:row>27</xdr:row>
      <xdr:rowOff>19050</xdr:rowOff>
    </xdr:from>
    <xdr:to>
      <xdr:col>7</xdr:col>
      <xdr:colOff>57150</xdr:colOff>
      <xdr:row>29</xdr:row>
      <xdr:rowOff>86794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EF050A7D-2351-4196-A7C2-C063C8AF297E}"/>
            </a:ext>
          </a:extLst>
        </xdr:cNvPr>
        <xdr:cNvCxnSpPr>
          <a:stCxn id="4" idx="6"/>
        </xdr:cNvCxnSpPr>
      </xdr:nvCxnSpPr>
      <xdr:spPr>
        <a:xfrm flipV="1">
          <a:off x="2841171" y="3829050"/>
          <a:ext cx="1483179" cy="4487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30</xdr:row>
      <xdr:rowOff>114300</xdr:rowOff>
    </xdr:from>
    <xdr:to>
      <xdr:col>6</xdr:col>
      <xdr:colOff>590550</xdr:colOff>
      <xdr:row>33</xdr:row>
      <xdr:rowOff>58219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xmlns="" id="{8E166490-1597-473B-9586-1DC263C6C205}"/>
            </a:ext>
          </a:extLst>
        </xdr:cNvPr>
        <xdr:cNvCxnSpPr>
          <a:endCxn id="22" idx="2"/>
        </xdr:cNvCxnSpPr>
      </xdr:nvCxnSpPr>
      <xdr:spPr>
        <a:xfrm>
          <a:off x="2752725" y="4495800"/>
          <a:ext cx="1495425" cy="515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25</xdr:row>
      <xdr:rowOff>95250</xdr:rowOff>
    </xdr:from>
    <xdr:to>
      <xdr:col>8</xdr:col>
      <xdr:colOff>40821</xdr:colOff>
      <xdr:row>28</xdr:row>
      <xdr:rowOff>173588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xmlns="" id="{4FF83DD7-00C1-4B0F-8C46-9BEC81984695}"/>
            </a:ext>
          </a:extLst>
        </xdr:cNvPr>
        <xdr:cNvSpPr/>
      </xdr:nvSpPr>
      <xdr:spPr>
        <a:xfrm>
          <a:off x="4314825" y="3524250"/>
          <a:ext cx="602796" cy="649838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400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590550</xdr:colOff>
      <xdr:row>31</xdr:row>
      <xdr:rowOff>114300</xdr:rowOff>
    </xdr:from>
    <xdr:to>
      <xdr:col>7</xdr:col>
      <xdr:colOff>583746</xdr:colOff>
      <xdr:row>35</xdr:row>
      <xdr:rowOff>2138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xmlns="" id="{67F9BBAF-450F-46B9-B9FA-FDFD8D55B9F2}"/>
            </a:ext>
          </a:extLst>
        </xdr:cNvPr>
        <xdr:cNvSpPr/>
      </xdr:nvSpPr>
      <xdr:spPr>
        <a:xfrm>
          <a:off x="4248150" y="4686300"/>
          <a:ext cx="602796" cy="649838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400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7</xdr:col>
      <xdr:colOff>409575</xdr:colOff>
      <xdr:row>7</xdr:row>
      <xdr:rowOff>19050</xdr:rowOff>
    </xdr:from>
    <xdr:to>
      <xdr:col>9</xdr:col>
      <xdr:colOff>285750</xdr:colOff>
      <xdr:row>10</xdr:row>
      <xdr:rowOff>114300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xmlns="" id="{4A426D07-5E27-4535-87F7-6DF5E353069C}"/>
            </a:ext>
          </a:extLst>
        </xdr:cNvPr>
        <xdr:cNvCxnSpPr/>
      </xdr:nvCxnSpPr>
      <xdr:spPr>
        <a:xfrm flipV="1">
          <a:off x="4676775" y="1352550"/>
          <a:ext cx="1095375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12</xdr:row>
      <xdr:rowOff>28575</xdr:rowOff>
    </xdr:from>
    <xdr:to>
      <xdr:col>9</xdr:col>
      <xdr:colOff>381000</xdr:colOff>
      <xdr:row>13</xdr:row>
      <xdr:rowOff>133350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xmlns="" id="{DA42D2CB-1290-402E-A1C3-71095CC46543}"/>
            </a:ext>
          </a:extLst>
        </xdr:cNvPr>
        <xdr:cNvCxnSpPr/>
      </xdr:nvCxnSpPr>
      <xdr:spPr>
        <a:xfrm>
          <a:off x="4695825" y="2314575"/>
          <a:ext cx="117157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23</xdr:row>
      <xdr:rowOff>142875</xdr:rowOff>
    </xdr:from>
    <xdr:to>
      <xdr:col>10</xdr:col>
      <xdr:colOff>95250</xdr:colOff>
      <xdr:row>26</xdr:row>
      <xdr:rowOff>104775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xmlns="" id="{ED185646-E00D-4915-AD27-D3120D54D154}"/>
            </a:ext>
          </a:extLst>
        </xdr:cNvPr>
        <xdr:cNvCxnSpPr/>
      </xdr:nvCxnSpPr>
      <xdr:spPr>
        <a:xfrm flipV="1">
          <a:off x="4895850" y="4524375"/>
          <a:ext cx="129540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27</xdr:row>
      <xdr:rowOff>114300</xdr:rowOff>
    </xdr:from>
    <xdr:to>
      <xdr:col>10</xdr:col>
      <xdr:colOff>85725</xdr:colOff>
      <xdr:row>29</xdr:row>
      <xdr:rowOff>47625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xmlns="" id="{B83667C3-6D58-4A05-99BF-02EE54261281}"/>
            </a:ext>
          </a:extLst>
        </xdr:cNvPr>
        <xdr:cNvCxnSpPr/>
      </xdr:nvCxnSpPr>
      <xdr:spPr>
        <a:xfrm>
          <a:off x="4886325" y="5257800"/>
          <a:ext cx="1295400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276224</xdr:colOff>
      <xdr:row>19</xdr:row>
      <xdr:rowOff>114300</xdr:rowOff>
    </xdr:to>
    <xdr:sp macro="" textlink="">
      <xdr:nvSpPr>
        <xdr:cNvPr id="19" name="Rectangle 18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161924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76199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114299</xdr:colOff>
      <xdr:row>19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201402</xdr:colOff>
      <xdr:row>0</xdr:row>
      <xdr:rowOff>0</xdr:rowOff>
    </xdr:from>
    <xdr:to>
      <xdr:col>11</xdr:col>
      <xdr:colOff>133349</xdr:colOff>
      <xdr:row>3</xdr:row>
      <xdr:rowOff>57150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xmlns="" id="{83BB53B3-6FDB-BCC5-BBD8-B3097DFBA6E1}"/>
            </a:ext>
          </a:extLst>
        </xdr:cNvPr>
        <xdr:cNvSpPr/>
      </xdr:nvSpPr>
      <xdr:spPr>
        <a:xfrm>
          <a:off x="1420602" y="0"/>
          <a:ext cx="5418347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>
              <a:solidFill>
                <a:srgbClr val="FF0000"/>
              </a:solidFill>
            </a:rPr>
            <a:t>Draw from Left</a:t>
          </a:r>
          <a:r>
            <a:rPr lang="en-US" sz="1400" b="1" baseline="0">
              <a:solidFill>
                <a:srgbClr val="FF0000"/>
              </a:solidFill>
            </a:rPr>
            <a:t> to right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590550</xdr:colOff>
      <xdr:row>12</xdr:row>
      <xdr:rowOff>28575</xdr:rowOff>
    </xdr:from>
    <xdr:to>
      <xdr:col>3</xdr:col>
      <xdr:colOff>19050</xdr:colOff>
      <xdr:row>15</xdr:row>
      <xdr:rowOff>123825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3EDF12AF-8620-5BEE-3522-7A68DD94D9E4}"/>
            </a:ext>
          </a:extLst>
        </xdr:cNvPr>
        <xdr:cNvSpPr/>
      </xdr:nvSpPr>
      <xdr:spPr>
        <a:xfrm>
          <a:off x="1200150" y="2314575"/>
          <a:ext cx="647700" cy="66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6</xdr:col>
      <xdr:colOff>0</xdr:colOff>
      <xdr:row>12</xdr:row>
      <xdr:rowOff>38100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12AA5196-005C-E6BC-D810-C18264E01CB2}"/>
            </a:ext>
          </a:extLst>
        </xdr:cNvPr>
        <xdr:cNvCxnSpPr/>
      </xdr:nvCxnSpPr>
      <xdr:spPr>
        <a:xfrm flipV="1">
          <a:off x="1828800" y="1666875"/>
          <a:ext cx="1828800" cy="657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15</xdr:row>
      <xdr:rowOff>123825</xdr:rowOff>
    </xdr:from>
    <xdr:to>
      <xdr:col>6</xdr:col>
      <xdr:colOff>0</xdr:colOff>
      <xdr:row>19</xdr:row>
      <xdr:rowOff>85725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20D2C018-57FE-4FA1-B310-DEB55A9A4D8B}"/>
            </a:ext>
          </a:extLst>
        </xdr:cNvPr>
        <xdr:cNvCxnSpPr/>
      </xdr:nvCxnSpPr>
      <xdr:spPr>
        <a:xfrm>
          <a:off x="1876425" y="2981325"/>
          <a:ext cx="1781175" cy="723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7</xdr:row>
      <xdr:rowOff>66675</xdr:rowOff>
    </xdr:from>
    <xdr:to>
      <xdr:col>7</xdr:col>
      <xdr:colOff>200025</xdr:colOff>
      <xdr:row>10</xdr:row>
      <xdr:rowOff>152400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15A309FF-6D4C-C3AA-5755-3425B30433DA}"/>
            </a:ext>
          </a:extLst>
        </xdr:cNvPr>
        <xdr:cNvSpPr/>
      </xdr:nvSpPr>
      <xdr:spPr>
        <a:xfrm>
          <a:off x="3686175" y="1400175"/>
          <a:ext cx="781050" cy="6572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</a:t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171450</xdr:colOff>
      <xdr:row>21</xdr:row>
      <xdr:rowOff>161925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75897153-1AE6-4F86-9F54-5802BE1BAF33}"/>
            </a:ext>
          </a:extLst>
        </xdr:cNvPr>
        <xdr:cNvSpPr/>
      </xdr:nvSpPr>
      <xdr:spPr>
        <a:xfrm>
          <a:off x="3657600" y="3505200"/>
          <a:ext cx="781050" cy="6572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</a:t>
          </a:r>
        </a:p>
      </xdr:txBody>
    </xdr:sp>
    <xdr:clientData/>
  </xdr:twoCellAnchor>
  <xdr:twoCellAnchor>
    <xdr:from>
      <xdr:col>7</xdr:col>
      <xdr:colOff>142875</xdr:colOff>
      <xdr:row>6</xdr:row>
      <xdr:rowOff>0</xdr:rowOff>
    </xdr:from>
    <xdr:to>
      <xdr:col>9</xdr:col>
      <xdr:colOff>161925</xdr:colOff>
      <xdr:row>8</xdr:row>
      <xdr:rowOff>47625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0C4A5DD4-973B-4AEB-8AD9-F3923DCFE130}"/>
            </a:ext>
          </a:extLst>
        </xdr:cNvPr>
        <xdr:cNvCxnSpPr/>
      </xdr:nvCxnSpPr>
      <xdr:spPr>
        <a:xfrm flipV="1">
          <a:off x="4410075" y="1143000"/>
          <a:ext cx="123825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10</xdr:row>
      <xdr:rowOff>28575</xdr:rowOff>
    </xdr:from>
    <xdr:to>
      <xdr:col>9</xdr:col>
      <xdr:colOff>85725</xdr:colOff>
      <xdr:row>12</xdr:row>
      <xdr:rowOff>142875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6AE59D47-F28C-4B2F-BDA9-685006832311}"/>
            </a:ext>
          </a:extLst>
        </xdr:cNvPr>
        <xdr:cNvCxnSpPr/>
      </xdr:nvCxnSpPr>
      <xdr:spPr>
        <a:xfrm>
          <a:off x="4391025" y="1933575"/>
          <a:ext cx="1181100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4</xdr:row>
      <xdr:rowOff>104775</xdr:rowOff>
    </xdr:from>
    <xdr:to>
      <xdr:col>10</xdr:col>
      <xdr:colOff>314325</xdr:colOff>
      <xdr:row>8</xdr:row>
      <xdr:rowOff>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xmlns="" id="{6016DF5A-B524-4085-9C67-1E8A5C6368E1}"/>
            </a:ext>
          </a:extLst>
        </xdr:cNvPr>
        <xdr:cNvSpPr/>
      </xdr:nvSpPr>
      <xdr:spPr>
        <a:xfrm>
          <a:off x="5629275" y="866775"/>
          <a:ext cx="781050" cy="6572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A</a:t>
          </a:r>
        </a:p>
      </xdr:txBody>
    </xdr:sp>
    <xdr:clientData/>
  </xdr:twoCellAnchor>
  <xdr:twoCellAnchor>
    <xdr:from>
      <xdr:col>10</xdr:col>
      <xdr:colOff>295275</xdr:colOff>
      <xdr:row>3</xdr:row>
      <xdr:rowOff>76200</xdr:rowOff>
    </xdr:from>
    <xdr:to>
      <xdr:col>12</xdr:col>
      <xdr:colOff>209550</xdr:colOff>
      <xdr:row>5</xdr:row>
      <xdr:rowOff>95250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xmlns="" id="{38C5DE30-1E44-41EB-BD45-31C802ADDFC4}"/>
            </a:ext>
          </a:extLst>
        </xdr:cNvPr>
        <xdr:cNvCxnSpPr/>
      </xdr:nvCxnSpPr>
      <xdr:spPr>
        <a:xfrm flipV="1">
          <a:off x="6391275" y="647700"/>
          <a:ext cx="1133475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6</xdr:row>
      <xdr:rowOff>19050</xdr:rowOff>
    </xdr:from>
    <xdr:to>
      <xdr:col>12</xdr:col>
      <xdr:colOff>171450</xdr:colOff>
      <xdr:row>6</xdr:row>
      <xdr:rowOff>38100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xmlns="" id="{281ABD5D-B980-4286-B53D-A9879C9CD1DE}"/>
            </a:ext>
          </a:extLst>
        </xdr:cNvPr>
        <xdr:cNvCxnSpPr/>
      </xdr:nvCxnSpPr>
      <xdr:spPr>
        <a:xfrm flipV="1">
          <a:off x="6419850" y="1162050"/>
          <a:ext cx="10668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7</xdr:row>
      <xdr:rowOff>57150</xdr:rowOff>
    </xdr:from>
    <xdr:to>
      <xdr:col>12</xdr:col>
      <xdr:colOff>104775</xdr:colOff>
      <xdr:row>8</xdr:row>
      <xdr:rowOff>161925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xmlns="" id="{EDE512B4-F0F9-48E8-ADD7-1F8D37EE9164}"/>
            </a:ext>
          </a:extLst>
        </xdr:cNvPr>
        <xdr:cNvCxnSpPr/>
      </xdr:nvCxnSpPr>
      <xdr:spPr>
        <a:xfrm>
          <a:off x="6372225" y="1390650"/>
          <a:ext cx="104775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12</xdr:row>
      <xdr:rowOff>104775</xdr:rowOff>
    </xdr:from>
    <xdr:to>
      <xdr:col>10</xdr:col>
      <xdr:colOff>314325</xdr:colOff>
      <xdr:row>16</xdr:row>
      <xdr:rowOff>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xmlns="" id="{D391266B-6180-4692-8B09-6FE219E75C5E}"/>
            </a:ext>
          </a:extLst>
        </xdr:cNvPr>
        <xdr:cNvSpPr/>
      </xdr:nvSpPr>
      <xdr:spPr>
        <a:xfrm>
          <a:off x="5629275" y="866775"/>
          <a:ext cx="781050" cy="6572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295275</xdr:colOff>
      <xdr:row>11</xdr:row>
      <xdr:rowOff>76200</xdr:rowOff>
    </xdr:from>
    <xdr:to>
      <xdr:col>12</xdr:col>
      <xdr:colOff>209550</xdr:colOff>
      <xdr:row>13</xdr:row>
      <xdr:rowOff>95250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xmlns="" id="{E3975B95-7C6B-4DF8-B441-E5AC428824AF}"/>
            </a:ext>
          </a:extLst>
        </xdr:cNvPr>
        <xdr:cNvCxnSpPr/>
      </xdr:nvCxnSpPr>
      <xdr:spPr>
        <a:xfrm flipV="1">
          <a:off x="6391275" y="647700"/>
          <a:ext cx="1133475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19050</xdr:rowOff>
    </xdr:from>
    <xdr:to>
      <xdr:col>12</xdr:col>
      <xdr:colOff>171450</xdr:colOff>
      <xdr:row>14</xdr:row>
      <xdr:rowOff>38100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xmlns="" id="{1206FE43-8870-4CC3-825A-5E6F2D49160D}"/>
            </a:ext>
          </a:extLst>
        </xdr:cNvPr>
        <xdr:cNvCxnSpPr/>
      </xdr:nvCxnSpPr>
      <xdr:spPr>
        <a:xfrm flipV="1">
          <a:off x="6419850" y="1162050"/>
          <a:ext cx="10668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15</xdr:row>
      <xdr:rowOff>57150</xdr:rowOff>
    </xdr:from>
    <xdr:to>
      <xdr:col>12</xdr:col>
      <xdr:colOff>104775</xdr:colOff>
      <xdr:row>16</xdr:row>
      <xdr:rowOff>161925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xmlns="" id="{5A0FD893-0169-4841-95FE-80336E214120}"/>
            </a:ext>
          </a:extLst>
        </xdr:cNvPr>
        <xdr:cNvCxnSpPr/>
      </xdr:nvCxnSpPr>
      <xdr:spPr>
        <a:xfrm>
          <a:off x="6372225" y="1390650"/>
          <a:ext cx="104775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12</xdr:row>
      <xdr:rowOff>104775</xdr:rowOff>
    </xdr:from>
    <xdr:to>
      <xdr:col>10</xdr:col>
      <xdr:colOff>314325</xdr:colOff>
      <xdr:row>16</xdr:row>
      <xdr:rowOff>0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xmlns="" id="{79A0AAF1-2B58-47FF-82C7-8531D9B414C0}"/>
            </a:ext>
          </a:extLst>
        </xdr:cNvPr>
        <xdr:cNvSpPr/>
      </xdr:nvSpPr>
      <xdr:spPr>
        <a:xfrm>
          <a:off x="5629275" y="2390775"/>
          <a:ext cx="781050" cy="6572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</a:t>
          </a:r>
        </a:p>
      </xdr:txBody>
    </xdr:sp>
    <xdr:clientData/>
  </xdr:twoCellAnchor>
  <xdr:twoCellAnchor>
    <xdr:from>
      <xdr:col>10</xdr:col>
      <xdr:colOff>295275</xdr:colOff>
      <xdr:row>11</xdr:row>
      <xdr:rowOff>76200</xdr:rowOff>
    </xdr:from>
    <xdr:to>
      <xdr:col>12</xdr:col>
      <xdr:colOff>209550</xdr:colOff>
      <xdr:row>13</xdr:row>
      <xdr:rowOff>95250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xmlns="" id="{FF8294DD-36AF-438F-B42D-7B1191921221}"/>
            </a:ext>
          </a:extLst>
        </xdr:cNvPr>
        <xdr:cNvCxnSpPr/>
      </xdr:nvCxnSpPr>
      <xdr:spPr>
        <a:xfrm flipV="1">
          <a:off x="6391275" y="2171700"/>
          <a:ext cx="1133475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19050</xdr:rowOff>
    </xdr:from>
    <xdr:to>
      <xdr:col>12</xdr:col>
      <xdr:colOff>171450</xdr:colOff>
      <xdr:row>14</xdr:row>
      <xdr:rowOff>38100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xmlns="" id="{F6A5EB8D-4D1C-4872-B685-0552E0E0B2FB}"/>
            </a:ext>
          </a:extLst>
        </xdr:cNvPr>
        <xdr:cNvCxnSpPr/>
      </xdr:nvCxnSpPr>
      <xdr:spPr>
        <a:xfrm flipV="1">
          <a:off x="6419850" y="2686050"/>
          <a:ext cx="10668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15</xdr:row>
      <xdr:rowOff>57150</xdr:rowOff>
    </xdr:from>
    <xdr:to>
      <xdr:col>12</xdr:col>
      <xdr:colOff>104775</xdr:colOff>
      <xdr:row>16</xdr:row>
      <xdr:rowOff>161925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xmlns="" id="{AF0D727D-C6B8-47BB-87EB-3BCD02097C8D}"/>
            </a:ext>
          </a:extLst>
        </xdr:cNvPr>
        <xdr:cNvCxnSpPr/>
      </xdr:nvCxnSpPr>
      <xdr:spPr>
        <a:xfrm>
          <a:off x="6372225" y="2914650"/>
          <a:ext cx="104775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20</xdr:row>
      <xdr:rowOff>133350</xdr:rowOff>
    </xdr:from>
    <xdr:to>
      <xdr:col>9</xdr:col>
      <xdr:colOff>152400</xdr:colOff>
      <xdr:row>20</xdr:row>
      <xdr:rowOff>142875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xmlns="" id="{2D20F11A-AE6C-4962-AA99-321798525050}"/>
            </a:ext>
          </a:extLst>
        </xdr:cNvPr>
        <xdr:cNvCxnSpPr/>
      </xdr:nvCxnSpPr>
      <xdr:spPr>
        <a:xfrm flipV="1">
          <a:off x="4476750" y="3943350"/>
          <a:ext cx="11620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18</xdr:row>
      <xdr:rowOff>9525</xdr:rowOff>
    </xdr:from>
    <xdr:to>
      <xdr:col>9</xdr:col>
      <xdr:colOff>104775</xdr:colOff>
      <xdr:row>20</xdr:row>
      <xdr:rowOff>28575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xmlns="" id="{B9366818-33C1-47AC-9443-2B69CD7DC6BD}"/>
            </a:ext>
          </a:extLst>
        </xdr:cNvPr>
        <xdr:cNvCxnSpPr/>
      </xdr:nvCxnSpPr>
      <xdr:spPr>
        <a:xfrm flipV="1">
          <a:off x="4457700" y="3438525"/>
          <a:ext cx="1133475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22</xdr:row>
      <xdr:rowOff>0</xdr:rowOff>
    </xdr:from>
    <xdr:to>
      <xdr:col>8</xdr:col>
      <xdr:colOff>542925</xdr:colOff>
      <xdr:row>23</xdr:row>
      <xdr:rowOff>104775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xmlns="" id="{50BE3525-78A4-4EC1-833C-492F2B6A95CB}"/>
            </a:ext>
          </a:extLst>
        </xdr:cNvPr>
        <xdr:cNvCxnSpPr/>
      </xdr:nvCxnSpPr>
      <xdr:spPr>
        <a:xfrm>
          <a:off x="4371975" y="4191000"/>
          <a:ext cx="104775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25</xdr:row>
      <xdr:rowOff>180975</xdr:rowOff>
    </xdr:from>
    <xdr:to>
      <xdr:col>12</xdr:col>
      <xdr:colOff>76200</xdr:colOff>
      <xdr:row>29</xdr:row>
      <xdr:rowOff>104775</xdr:rowOff>
    </xdr:to>
    <xdr:sp macro="" textlink="">
      <xdr:nvSpPr>
        <xdr:cNvPr id="42" name="Arrow: Left 41">
          <a:extLst>
            <a:ext uri="{FF2B5EF4-FFF2-40B4-BE49-F238E27FC236}">
              <a16:creationId xmlns:a16="http://schemas.microsoft.com/office/drawing/2014/main" xmlns="" id="{96B78AA6-C01F-1B56-AE87-3C288673307B}"/>
            </a:ext>
          </a:extLst>
        </xdr:cNvPr>
        <xdr:cNvSpPr/>
      </xdr:nvSpPr>
      <xdr:spPr>
        <a:xfrm>
          <a:off x="1752600" y="4943475"/>
          <a:ext cx="5638800" cy="685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>
              <a:solidFill>
                <a:schemeClr val="tx1">
                  <a:lumMod val="75000"/>
                  <a:lumOff val="25000"/>
                </a:schemeClr>
              </a:solidFill>
            </a:rPr>
            <a:t>Evaluate from Right to Left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276224</xdr:colOff>
      <xdr:row>19</xdr:row>
      <xdr:rowOff>114300</xdr:rowOff>
    </xdr:to>
    <xdr:sp macro="" textlink="">
      <xdr:nvSpPr>
        <xdr:cNvPr id="33" name="Rectangle 32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600075</xdr:colOff>
      <xdr:row>14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CFF3289B-10E0-6D4F-D6E1-CCFFB0843F7A}"/>
            </a:ext>
          </a:extLst>
        </xdr:cNvPr>
        <xdr:cNvSpPr/>
      </xdr:nvSpPr>
      <xdr:spPr>
        <a:xfrm>
          <a:off x="609600" y="2286000"/>
          <a:ext cx="600075" cy="55245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D</a:t>
          </a:r>
        </a:p>
      </xdr:txBody>
    </xdr:sp>
    <xdr:clientData/>
  </xdr:twoCellAnchor>
  <xdr:twoCellAnchor>
    <xdr:from>
      <xdr:col>1</xdr:col>
      <xdr:colOff>571500</xdr:colOff>
      <xdr:row>7</xdr:row>
      <xdr:rowOff>38100</xdr:rowOff>
    </xdr:from>
    <xdr:to>
      <xdr:col>5</xdr:col>
      <xdr:colOff>180975</xdr:colOff>
      <xdr:row>12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F5A43B57-F1DF-E769-62BC-E0383DC943D8}"/>
            </a:ext>
          </a:extLst>
        </xdr:cNvPr>
        <xdr:cNvCxnSpPr/>
      </xdr:nvCxnSpPr>
      <xdr:spPr>
        <a:xfrm flipV="1">
          <a:off x="1181100" y="1371600"/>
          <a:ext cx="204787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14</xdr:row>
      <xdr:rowOff>171450</xdr:rowOff>
    </xdr:from>
    <xdr:to>
      <xdr:col>5</xdr:col>
      <xdr:colOff>200025</xdr:colOff>
      <xdr:row>19</xdr:row>
      <xdr:rowOff>19050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6F276AB2-FB4F-4302-8360-17816195573E}"/>
            </a:ext>
          </a:extLst>
        </xdr:cNvPr>
        <xdr:cNvCxnSpPr/>
      </xdr:nvCxnSpPr>
      <xdr:spPr>
        <a:xfrm>
          <a:off x="1209675" y="2838450"/>
          <a:ext cx="2038350" cy="800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5</xdr:row>
      <xdr:rowOff>123825</xdr:rowOff>
    </xdr:from>
    <xdr:to>
      <xdr:col>6</xdr:col>
      <xdr:colOff>266700</xdr:colOff>
      <xdr:row>9</xdr:row>
      <xdr:rowOff>9525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68704E0B-D2D4-7D40-6A10-74892918F6B1}"/>
            </a:ext>
          </a:extLst>
        </xdr:cNvPr>
        <xdr:cNvSpPr/>
      </xdr:nvSpPr>
      <xdr:spPr>
        <a:xfrm>
          <a:off x="3257550" y="1076325"/>
          <a:ext cx="666750" cy="64770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400"/>
            <a:t>C</a:t>
          </a:r>
        </a:p>
      </xdr:txBody>
    </xdr:sp>
    <xdr:clientData/>
  </xdr:twoCellAnchor>
  <xdr:twoCellAnchor>
    <xdr:from>
      <xdr:col>6</xdr:col>
      <xdr:colOff>304800</xdr:colOff>
      <xdr:row>4</xdr:row>
      <xdr:rowOff>114300</xdr:rowOff>
    </xdr:from>
    <xdr:to>
      <xdr:col>9</xdr:col>
      <xdr:colOff>38100</xdr:colOff>
      <xdr:row>7</xdr:row>
      <xdr:rowOff>76200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D462A261-0480-45CD-890C-F3269980C2F5}"/>
            </a:ext>
          </a:extLst>
        </xdr:cNvPr>
        <xdr:cNvCxnSpPr/>
      </xdr:nvCxnSpPr>
      <xdr:spPr>
        <a:xfrm flipV="1">
          <a:off x="3962400" y="876300"/>
          <a:ext cx="156210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7</xdr:row>
      <xdr:rowOff>180975</xdr:rowOff>
    </xdr:from>
    <xdr:to>
      <xdr:col>9</xdr:col>
      <xdr:colOff>38100</xdr:colOff>
      <xdr:row>12</xdr:row>
      <xdr:rowOff>95250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7DCB89A6-0E5F-4260-A0A2-3901260D6F51}"/>
            </a:ext>
          </a:extLst>
        </xdr:cNvPr>
        <xdr:cNvCxnSpPr/>
      </xdr:nvCxnSpPr>
      <xdr:spPr>
        <a:xfrm>
          <a:off x="3914775" y="1514475"/>
          <a:ext cx="1609725" cy="866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3</xdr:row>
      <xdr:rowOff>47625</xdr:rowOff>
    </xdr:from>
    <xdr:to>
      <xdr:col>10</xdr:col>
      <xdr:colOff>85725</xdr:colOff>
      <xdr:row>6</xdr:row>
      <xdr:rowOff>123825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xmlns="" id="{5F2C0CAC-7451-4FA1-BDA9-528CE52BC07C}"/>
            </a:ext>
          </a:extLst>
        </xdr:cNvPr>
        <xdr:cNvSpPr/>
      </xdr:nvSpPr>
      <xdr:spPr>
        <a:xfrm>
          <a:off x="5514975" y="619125"/>
          <a:ext cx="666750" cy="64770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A</a:t>
          </a:r>
        </a:p>
      </xdr:txBody>
    </xdr:sp>
    <xdr:clientData/>
  </xdr:twoCellAnchor>
  <xdr:twoCellAnchor>
    <xdr:from>
      <xdr:col>10</xdr:col>
      <xdr:colOff>38100</xdr:colOff>
      <xdr:row>1</xdr:row>
      <xdr:rowOff>152400</xdr:rowOff>
    </xdr:from>
    <xdr:to>
      <xdr:col>12</xdr:col>
      <xdr:colOff>371475</xdr:colOff>
      <xdr:row>4</xdr:row>
      <xdr:rowOff>28575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3FD5B17A-943D-4DE8-9D35-A34630F3AAD8}"/>
            </a:ext>
          </a:extLst>
        </xdr:cNvPr>
        <xdr:cNvCxnSpPr/>
      </xdr:nvCxnSpPr>
      <xdr:spPr>
        <a:xfrm flipV="1">
          <a:off x="6134100" y="342900"/>
          <a:ext cx="1552575" cy="447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4</xdr:row>
      <xdr:rowOff>161925</xdr:rowOff>
    </xdr:from>
    <xdr:to>
      <xdr:col>12</xdr:col>
      <xdr:colOff>342900</xdr:colOff>
      <xdr:row>4</xdr:row>
      <xdr:rowOff>171450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7B4BB84D-97D0-42E4-84EF-976FE3F6E609}"/>
            </a:ext>
          </a:extLst>
        </xdr:cNvPr>
        <xdr:cNvCxnSpPr/>
      </xdr:nvCxnSpPr>
      <xdr:spPr>
        <a:xfrm>
          <a:off x="6181725" y="923925"/>
          <a:ext cx="14763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6</xdr:row>
      <xdr:rowOff>19050</xdr:rowOff>
    </xdr:from>
    <xdr:to>
      <xdr:col>12</xdr:col>
      <xdr:colOff>419100</xdr:colOff>
      <xdr:row>8</xdr:row>
      <xdr:rowOff>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xmlns="" id="{EB507B55-56CC-47F8-9A95-85603D3B7A6A}"/>
            </a:ext>
          </a:extLst>
        </xdr:cNvPr>
        <xdr:cNvCxnSpPr/>
      </xdr:nvCxnSpPr>
      <xdr:spPr>
        <a:xfrm>
          <a:off x="6134100" y="1162050"/>
          <a:ext cx="1600200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</xdr:row>
      <xdr:rowOff>76200</xdr:rowOff>
    </xdr:from>
    <xdr:to>
      <xdr:col>10</xdr:col>
      <xdr:colOff>66675</xdr:colOff>
      <xdr:row>14</xdr:row>
      <xdr:rowOff>152400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xmlns="" id="{78F5C9B4-0693-4A1D-AC9B-4BF352F27567}"/>
            </a:ext>
          </a:extLst>
        </xdr:cNvPr>
        <xdr:cNvSpPr/>
      </xdr:nvSpPr>
      <xdr:spPr>
        <a:xfrm>
          <a:off x="5495925" y="2171700"/>
          <a:ext cx="666750" cy="64770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</a:t>
          </a:r>
          <a:endParaRPr lang="en-US" sz="2400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10</xdr:col>
      <xdr:colOff>47625</xdr:colOff>
      <xdr:row>11</xdr:row>
      <xdr:rowOff>123825</xdr:rowOff>
    </xdr:from>
    <xdr:to>
      <xdr:col>12</xdr:col>
      <xdr:colOff>352425</xdr:colOff>
      <xdr:row>12</xdr:row>
      <xdr:rowOff>142875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xmlns="" id="{01173DF4-D03C-4BEA-AE5E-3D1B1D0834A0}"/>
            </a:ext>
          </a:extLst>
        </xdr:cNvPr>
        <xdr:cNvCxnSpPr/>
      </xdr:nvCxnSpPr>
      <xdr:spPr>
        <a:xfrm flipV="1">
          <a:off x="6143625" y="2219325"/>
          <a:ext cx="152400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14</xdr:row>
      <xdr:rowOff>19050</xdr:rowOff>
    </xdr:from>
    <xdr:to>
      <xdr:col>12</xdr:col>
      <xdr:colOff>428625</xdr:colOff>
      <xdr:row>15</xdr:row>
      <xdr:rowOff>142875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xmlns="" id="{D9F8F869-E612-42BC-8FF4-9A38A0E27FEE}"/>
            </a:ext>
          </a:extLst>
        </xdr:cNvPr>
        <xdr:cNvCxnSpPr/>
      </xdr:nvCxnSpPr>
      <xdr:spPr>
        <a:xfrm>
          <a:off x="6086475" y="2686050"/>
          <a:ext cx="1657350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19</xdr:row>
      <xdr:rowOff>9525</xdr:rowOff>
    </xdr:from>
    <xdr:to>
      <xdr:col>12</xdr:col>
      <xdr:colOff>590550</xdr:colOff>
      <xdr:row>19</xdr:row>
      <xdr:rowOff>104775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xmlns="" id="{185A9152-9A1E-4819-8373-CE8AA8B294E4}"/>
            </a:ext>
          </a:extLst>
        </xdr:cNvPr>
        <xdr:cNvCxnSpPr/>
      </xdr:nvCxnSpPr>
      <xdr:spPr>
        <a:xfrm>
          <a:off x="3238500" y="3629025"/>
          <a:ext cx="4667250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504824</xdr:colOff>
      <xdr:row>19</xdr:row>
      <xdr:rowOff>38100</xdr:rowOff>
    </xdr:to>
    <xdr:sp macro="" textlink="">
      <xdr:nvSpPr>
        <xdr:cNvPr id="16" name="Rectangle 15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600075</xdr:colOff>
      <xdr:row>18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53D5BF9C-41E9-4AD0-9460-EBCA6CBAE58E}"/>
            </a:ext>
          </a:extLst>
        </xdr:cNvPr>
        <xdr:cNvSpPr/>
      </xdr:nvSpPr>
      <xdr:spPr>
        <a:xfrm>
          <a:off x="609600" y="2286000"/>
          <a:ext cx="600075" cy="5715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E</a:t>
          </a:r>
        </a:p>
      </xdr:txBody>
    </xdr:sp>
    <xdr:clientData/>
  </xdr:twoCellAnchor>
  <xdr:twoCellAnchor>
    <xdr:from>
      <xdr:col>1</xdr:col>
      <xdr:colOff>590550</xdr:colOff>
      <xdr:row>11</xdr:row>
      <xdr:rowOff>180975</xdr:rowOff>
    </xdr:from>
    <xdr:to>
      <xdr:col>4</xdr:col>
      <xdr:colOff>85725</xdr:colOff>
      <xdr:row>15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146DE594-44B7-44D1-8B0A-227F672F43EA}"/>
            </a:ext>
          </a:extLst>
        </xdr:cNvPr>
        <xdr:cNvCxnSpPr/>
      </xdr:nvCxnSpPr>
      <xdr:spPr>
        <a:xfrm flipV="1">
          <a:off x="1200150" y="1704975"/>
          <a:ext cx="1323975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17</xdr:row>
      <xdr:rowOff>180975</xdr:rowOff>
    </xdr:from>
    <xdr:to>
      <xdr:col>4</xdr:col>
      <xdr:colOff>57150</xdr:colOff>
      <xdr:row>21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DC5CC242-E019-4E28-92C1-C543BF5BF812}"/>
            </a:ext>
          </a:extLst>
        </xdr:cNvPr>
        <xdr:cNvCxnSpPr/>
      </xdr:nvCxnSpPr>
      <xdr:spPr>
        <a:xfrm>
          <a:off x="1190625" y="2847975"/>
          <a:ext cx="1304925" cy="657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10</xdr:row>
      <xdr:rowOff>19050</xdr:rowOff>
    </xdr:from>
    <xdr:to>
      <xdr:col>5</xdr:col>
      <xdr:colOff>161925</xdr:colOff>
      <xdr:row>13</xdr:row>
      <xdr:rowOff>114300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B588E106-D56B-4288-8583-5534AC1002CA}"/>
            </a:ext>
          </a:extLst>
        </xdr:cNvPr>
        <xdr:cNvSpPr/>
      </xdr:nvSpPr>
      <xdr:spPr>
        <a:xfrm>
          <a:off x="2543175" y="1352550"/>
          <a:ext cx="666750" cy="66675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</a:rPr>
            <a:t>D</a:t>
          </a:r>
        </a:p>
        <a:p>
          <a:pPr algn="l"/>
          <a:endParaRPr lang="en-US" sz="1100"/>
        </a:p>
      </xdr:txBody>
    </xdr:sp>
    <xdr:clientData/>
  </xdr:twoCellAnchor>
  <xdr:twoCellAnchor>
    <xdr:from>
      <xdr:col>5</xdr:col>
      <xdr:colOff>142875</xdr:colOff>
      <xdr:row>7</xdr:row>
      <xdr:rowOff>152400</xdr:rowOff>
    </xdr:from>
    <xdr:to>
      <xdr:col>7</xdr:col>
      <xdr:colOff>485775</xdr:colOff>
      <xdr:row>11</xdr:row>
      <xdr:rowOff>161925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7580D03D-427B-4880-9D59-2E940D22B4ED}"/>
            </a:ext>
          </a:extLst>
        </xdr:cNvPr>
        <xdr:cNvCxnSpPr/>
      </xdr:nvCxnSpPr>
      <xdr:spPr>
        <a:xfrm flipV="1">
          <a:off x="3190875" y="914400"/>
          <a:ext cx="1562100" cy="771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12</xdr:row>
      <xdr:rowOff>0</xdr:rowOff>
    </xdr:from>
    <xdr:to>
      <xdr:col>7</xdr:col>
      <xdr:colOff>523875</xdr:colOff>
      <xdr:row>15</xdr:row>
      <xdr:rowOff>142875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C988ED86-2C81-492F-9590-AD178CFF45D9}"/>
            </a:ext>
          </a:extLst>
        </xdr:cNvPr>
        <xdr:cNvCxnSpPr/>
      </xdr:nvCxnSpPr>
      <xdr:spPr>
        <a:xfrm>
          <a:off x="3171825" y="1714500"/>
          <a:ext cx="1619250" cy="714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6</xdr:row>
      <xdr:rowOff>76200</xdr:rowOff>
    </xdr:from>
    <xdr:to>
      <xdr:col>8</xdr:col>
      <xdr:colOff>514350</xdr:colOff>
      <xdr:row>9</xdr:row>
      <xdr:rowOff>76200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9A23A065-C454-4D25-8653-C5B5E3183726}"/>
            </a:ext>
          </a:extLst>
        </xdr:cNvPr>
        <xdr:cNvSpPr/>
      </xdr:nvSpPr>
      <xdr:spPr>
        <a:xfrm>
          <a:off x="4791075" y="647700"/>
          <a:ext cx="600075" cy="5715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B</a:t>
          </a:r>
        </a:p>
      </xdr:txBody>
    </xdr:sp>
    <xdr:clientData/>
  </xdr:twoCellAnchor>
  <xdr:twoCellAnchor>
    <xdr:from>
      <xdr:col>8</xdr:col>
      <xdr:colOff>514350</xdr:colOff>
      <xdr:row>5</xdr:row>
      <xdr:rowOff>152400</xdr:rowOff>
    </xdr:from>
    <xdr:to>
      <xdr:col>11</xdr:col>
      <xdr:colOff>38100</xdr:colOff>
      <xdr:row>8</xdr:row>
      <xdr:rowOff>9525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D46EB23E-917A-4B26-B6FA-CC8F7E7F5199}"/>
            </a:ext>
          </a:extLst>
        </xdr:cNvPr>
        <xdr:cNvCxnSpPr/>
      </xdr:nvCxnSpPr>
      <xdr:spPr>
        <a:xfrm flipV="1">
          <a:off x="5391150" y="533400"/>
          <a:ext cx="135255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8</xdr:row>
      <xdr:rowOff>19050</xdr:rowOff>
    </xdr:from>
    <xdr:to>
      <xdr:col>13</xdr:col>
      <xdr:colOff>590550</xdr:colOff>
      <xdr:row>11</xdr:row>
      <xdr:rowOff>171450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E2DDA087-37B6-4706-B534-9EDFEC0CCD36}"/>
            </a:ext>
          </a:extLst>
        </xdr:cNvPr>
        <xdr:cNvCxnSpPr/>
      </xdr:nvCxnSpPr>
      <xdr:spPr>
        <a:xfrm>
          <a:off x="5391150" y="1543050"/>
          <a:ext cx="3124200" cy="723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3</xdr:row>
      <xdr:rowOff>161925</xdr:rowOff>
    </xdr:from>
    <xdr:to>
      <xdr:col>12</xdr:col>
      <xdr:colOff>95250</xdr:colOff>
      <xdr:row>7</xdr:row>
      <xdr:rowOff>66675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xmlns="" id="{9BC35E0B-1F13-4716-B0B1-5082AE5FDFE0}"/>
            </a:ext>
          </a:extLst>
        </xdr:cNvPr>
        <xdr:cNvSpPr/>
      </xdr:nvSpPr>
      <xdr:spPr>
        <a:xfrm>
          <a:off x="6743700" y="733425"/>
          <a:ext cx="666750" cy="66675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</a:rPr>
            <a:t>A</a:t>
          </a:r>
        </a:p>
        <a:p>
          <a:pPr algn="l"/>
          <a:endParaRPr lang="en-US" sz="1100"/>
        </a:p>
      </xdr:txBody>
    </xdr:sp>
    <xdr:clientData/>
  </xdr:twoCellAnchor>
  <xdr:twoCellAnchor>
    <xdr:from>
      <xdr:col>12</xdr:col>
      <xdr:colOff>104775</xdr:colOff>
      <xdr:row>3</xdr:row>
      <xdr:rowOff>19050</xdr:rowOff>
    </xdr:from>
    <xdr:to>
      <xdr:col>13</xdr:col>
      <xdr:colOff>457200</xdr:colOff>
      <xdr:row>4</xdr:row>
      <xdr:rowOff>171450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xmlns="" id="{6CE03C39-417C-4A15-AA1B-8A529377D726}"/>
            </a:ext>
          </a:extLst>
        </xdr:cNvPr>
        <xdr:cNvCxnSpPr/>
      </xdr:nvCxnSpPr>
      <xdr:spPr>
        <a:xfrm flipV="1">
          <a:off x="7419975" y="590550"/>
          <a:ext cx="962025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5</xdr:row>
      <xdr:rowOff>152400</xdr:rowOff>
    </xdr:from>
    <xdr:to>
      <xdr:col>13</xdr:col>
      <xdr:colOff>342900</xdr:colOff>
      <xdr:row>5</xdr:row>
      <xdr:rowOff>161925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xmlns="" id="{724A68FD-FCED-4639-B31C-A4C9FC8805B1}"/>
            </a:ext>
          </a:extLst>
        </xdr:cNvPr>
        <xdr:cNvCxnSpPr/>
      </xdr:nvCxnSpPr>
      <xdr:spPr>
        <a:xfrm flipV="1">
          <a:off x="7410450" y="1104900"/>
          <a:ext cx="8572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6</xdr:row>
      <xdr:rowOff>76200</xdr:rowOff>
    </xdr:from>
    <xdr:to>
      <xdr:col>13</xdr:col>
      <xdr:colOff>400050</xdr:colOff>
      <xdr:row>7</xdr:row>
      <xdr:rowOff>152400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xmlns="" id="{19734434-26F1-4126-AE21-B42525EB4D03}"/>
            </a:ext>
          </a:extLst>
        </xdr:cNvPr>
        <xdr:cNvCxnSpPr/>
      </xdr:nvCxnSpPr>
      <xdr:spPr>
        <a:xfrm>
          <a:off x="7372350" y="1219200"/>
          <a:ext cx="952500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14</xdr:row>
      <xdr:rowOff>114300</xdr:rowOff>
    </xdr:from>
    <xdr:to>
      <xdr:col>8</xdr:col>
      <xdr:colOff>523875</xdr:colOff>
      <xdr:row>17</xdr:row>
      <xdr:rowOff>114300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xmlns="" id="{08912ED2-BD30-458B-AC2C-F8E0C0D4F235}"/>
            </a:ext>
          </a:extLst>
        </xdr:cNvPr>
        <xdr:cNvSpPr/>
      </xdr:nvSpPr>
      <xdr:spPr>
        <a:xfrm>
          <a:off x="4800600" y="2781300"/>
          <a:ext cx="600075" cy="5715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C</a:t>
          </a:r>
        </a:p>
      </xdr:txBody>
    </xdr:sp>
    <xdr:clientData/>
  </xdr:twoCellAnchor>
  <xdr:twoCellAnchor>
    <xdr:from>
      <xdr:col>8</xdr:col>
      <xdr:colOff>533400</xdr:colOff>
      <xdr:row>14</xdr:row>
      <xdr:rowOff>95250</xdr:rowOff>
    </xdr:from>
    <xdr:to>
      <xdr:col>13</xdr:col>
      <xdr:colOff>523875</xdr:colOff>
      <xdr:row>16</xdr:row>
      <xdr:rowOff>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xmlns="" id="{BE3C6FAE-5DBF-4313-80FB-C115677CDA4D}"/>
            </a:ext>
          </a:extLst>
        </xdr:cNvPr>
        <xdr:cNvCxnSpPr/>
      </xdr:nvCxnSpPr>
      <xdr:spPr>
        <a:xfrm flipV="1">
          <a:off x="5410200" y="2762250"/>
          <a:ext cx="3038475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16</xdr:row>
      <xdr:rowOff>66675</xdr:rowOff>
    </xdr:from>
    <xdr:to>
      <xdr:col>13</xdr:col>
      <xdr:colOff>523875</xdr:colOff>
      <xdr:row>18</xdr:row>
      <xdr:rowOff>180975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xmlns="" id="{B0ACC5B2-F2C0-4466-8194-03F4D0382F76}"/>
            </a:ext>
          </a:extLst>
        </xdr:cNvPr>
        <xdr:cNvCxnSpPr/>
      </xdr:nvCxnSpPr>
      <xdr:spPr>
        <a:xfrm>
          <a:off x="5391150" y="3114675"/>
          <a:ext cx="3057525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21</xdr:row>
      <xdr:rowOff>66675</xdr:rowOff>
    </xdr:from>
    <xdr:to>
      <xdr:col>13</xdr:col>
      <xdr:colOff>533400</xdr:colOff>
      <xdr:row>21</xdr:row>
      <xdr:rowOff>76200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xmlns="" id="{2FF3B058-ADDB-4C73-B56A-85D460EC9D33}"/>
            </a:ext>
          </a:extLst>
        </xdr:cNvPr>
        <xdr:cNvCxnSpPr/>
      </xdr:nvCxnSpPr>
      <xdr:spPr>
        <a:xfrm>
          <a:off x="2476500" y="4067175"/>
          <a:ext cx="59817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822778</xdr:colOff>
      <xdr:row>19</xdr:row>
      <xdr:rowOff>25854</xdr:rowOff>
    </xdr:to>
    <xdr:sp macro="" textlink="">
      <xdr:nvSpPr>
        <xdr:cNvPr id="20" name="Rectangle 19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276224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73</xdr:row>
      <xdr:rowOff>95250</xdr:rowOff>
    </xdr:from>
    <xdr:to>
      <xdr:col>2</xdr:col>
      <xdr:colOff>123825</xdr:colOff>
      <xdr:row>76</xdr:row>
      <xdr:rowOff>114300</xdr:rowOff>
    </xdr:to>
    <xdr:sp macro="" textlink="">
      <xdr:nvSpPr>
        <xdr:cNvPr id="2" name="Right Bracket 1">
          <a:extLst>
            <a:ext uri="{FF2B5EF4-FFF2-40B4-BE49-F238E27FC236}">
              <a16:creationId xmlns:a16="http://schemas.microsoft.com/office/drawing/2014/main" xmlns="" id="{C96B8FBF-39B4-4BC1-80EA-D4808EA728D3}"/>
            </a:ext>
          </a:extLst>
        </xdr:cNvPr>
        <xdr:cNvSpPr/>
      </xdr:nvSpPr>
      <xdr:spPr>
        <a:xfrm rot="10800000">
          <a:off x="1819275" y="857250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466725</xdr:colOff>
      <xdr:row>72</xdr:row>
      <xdr:rowOff>180975</xdr:rowOff>
    </xdr:from>
    <xdr:to>
      <xdr:col>8</xdr:col>
      <xdr:colOff>600075</xdr:colOff>
      <xdr:row>76</xdr:row>
      <xdr:rowOff>9525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xmlns="" id="{84490B6C-E7AE-447D-8BD9-32ABF48E1C1E}"/>
            </a:ext>
          </a:extLst>
        </xdr:cNvPr>
        <xdr:cNvSpPr/>
      </xdr:nvSpPr>
      <xdr:spPr>
        <a:xfrm>
          <a:off x="5981700" y="752475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77</xdr:row>
      <xdr:rowOff>85725</xdr:rowOff>
    </xdr:from>
    <xdr:to>
      <xdr:col>2</xdr:col>
      <xdr:colOff>123825</xdr:colOff>
      <xdr:row>80</xdr:row>
      <xdr:rowOff>104775</xdr:rowOff>
    </xdr:to>
    <xdr:sp macro="" textlink="">
      <xdr:nvSpPr>
        <xdr:cNvPr id="4" name="Right Bracket 3">
          <a:extLst>
            <a:ext uri="{FF2B5EF4-FFF2-40B4-BE49-F238E27FC236}">
              <a16:creationId xmlns:a16="http://schemas.microsoft.com/office/drawing/2014/main" xmlns="" id="{56D3F5FC-F472-4B04-BB71-E7749832FF32}"/>
            </a:ext>
          </a:extLst>
        </xdr:cNvPr>
        <xdr:cNvSpPr/>
      </xdr:nvSpPr>
      <xdr:spPr>
        <a:xfrm rot="10800000">
          <a:off x="1819275" y="1609725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485775</xdr:colOff>
      <xdr:row>77</xdr:row>
      <xdr:rowOff>171450</xdr:rowOff>
    </xdr:from>
    <xdr:to>
      <xdr:col>9</xdr:col>
      <xdr:colOff>9525</xdr:colOff>
      <xdr:row>81</xdr:row>
      <xdr:rowOff>0</xdr:rowOff>
    </xdr:to>
    <xdr:sp macro="" textlink="">
      <xdr:nvSpPr>
        <xdr:cNvPr id="5" name="Right Bracket 4">
          <a:extLst>
            <a:ext uri="{FF2B5EF4-FFF2-40B4-BE49-F238E27FC236}">
              <a16:creationId xmlns:a16="http://schemas.microsoft.com/office/drawing/2014/main" xmlns="" id="{4002C358-C5AF-411F-B508-9AAE92DC1834}"/>
            </a:ext>
          </a:extLst>
        </xdr:cNvPr>
        <xdr:cNvSpPr/>
      </xdr:nvSpPr>
      <xdr:spPr>
        <a:xfrm>
          <a:off x="6000750" y="1695450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</xdr:colOff>
      <xdr:row>81</xdr:row>
      <xdr:rowOff>104775</xdr:rowOff>
    </xdr:from>
    <xdr:to>
      <xdr:col>2</xdr:col>
      <xdr:colOff>142875</xdr:colOff>
      <xdr:row>84</xdr:row>
      <xdr:rowOff>123825</xdr:rowOff>
    </xdr:to>
    <xdr:sp macro="" textlink="">
      <xdr:nvSpPr>
        <xdr:cNvPr id="6" name="Right Bracket 5">
          <a:extLst>
            <a:ext uri="{FF2B5EF4-FFF2-40B4-BE49-F238E27FC236}">
              <a16:creationId xmlns:a16="http://schemas.microsoft.com/office/drawing/2014/main" xmlns="" id="{4C139B60-F4A7-4044-86BD-3C893CB1C99A}"/>
            </a:ext>
          </a:extLst>
        </xdr:cNvPr>
        <xdr:cNvSpPr/>
      </xdr:nvSpPr>
      <xdr:spPr>
        <a:xfrm rot="10800000">
          <a:off x="1838325" y="2390775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495300</xdr:colOff>
      <xdr:row>81</xdr:row>
      <xdr:rowOff>114300</xdr:rowOff>
    </xdr:from>
    <xdr:to>
      <xdr:col>7</xdr:col>
      <xdr:colOff>19050</xdr:colOff>
      <xdr:row>84</xdr:row>
      <xdr:rowOff>133350</xdr:rowOff>
    </xdr:to>
    <xdr:sp macro="" textlink="">
      <xdr:nvSpPr>
        <xdr:cNvPr id="7" name="Right Bracket 6">
          <a:extLst>
            <a:ext uri="{FF2B5EF4-FFF2-40B4-BE49-F238E27FC236}">
              <a16:creationId xmlns:a16="http://schemas.microsoft.com/office/drawing/2014/main" xmlns="" id="{02FBA5EA-58EC-4A4D-B85F-86E4A44E702B}"/>
            </a:ext>
          </a:extLst>
        </xdr:cNvPr>
        <xdr:cNvSpPr/>
      </xdr:nvSpPr>
      <xdr:spPr>
        <a:xfrm>
          <a:off x="4791075" y="2400300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276225</xdr:colOff>
      <xdr:row>85</xdr:row>
      <xdr:rowOff>123825</xdr:rowOff>
    </xdr:from>
    <xdr:to>
      <xdr:col>2</xdr:col>
      <xdr:colOff>409575</xdr:colOff>
      <xdr:row>87</xdr:row>
      <xdr:rowOff>28575</xdr:rowOff>
    </xdr:to>
    <xdr:sp macro="" textlink="">
      <xdr:nvSpPr>
        <xdr:cNvPr id="8" name="Right Bracket 7">
          <a:extLst>
            <a:ext uri="{FF2B5EF4-FFF2-40B4-BE49-F238E27FC236}">
              <a16:creationId xmlns:a16="http://schemas.microsoft.com/office/drawing/2014/main" xmlns="" id="{A6D18354-F9DB-4C36-A7CA-CE92F84F6A2A}"/>
            </a:ext>
          </a:extLst>
        </xdr:cNvPr>
        <xdr:cNvSpPr/>
      </xdr:nvSpPr>
      <xdr:spPr>
        <a:xfrm rot="10800000">
          <a:off x="2105025" y="3171825"/>
          <a:ext cx="133350" cy="2857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552450</xdr:colOff>
      <xdr:row>85</xdr:row>
      <xdr:rowOff>171449</xdr:rowOff>
    </xdr:from>
    <xdr:to>
      <xdr:col>7</xdr:col>
      <xdr:colOff>28575</xdr:colOff>
      <xdr:row>87</xdr:row>
      <xdr:rowOff>66674</xdr:rowOff>
    </xdr:to>
    <xdr:sp macro="" textlink="">
      <xdr:nvSpPr>
        <xdr:cNvPr id="9" name="Right Bracket 8">
          <a:extLst>
            <a:ext uri="{FF2B5EF4-FFF2-40B4-BE49-F238E27FC236}">
              <a16:creationId xmlns:a16="http://schemas.microsoft.com/office/drawing/2014/main" xmlns="" id="{81A2FACD-BD66-4246-ABAB-7E07E9DEE6C0}"/>
            </a:ext>
          </a:extLst>
        </xdr:cNvPr>
        <xdr:cNvSpPr/>
      </xdr:nvSpPr>
      <xdr:spPr>
        <a:xfrm>
          <a:off x="4848225" y="3219449"/>
          <a:ext cx="85725" cy="276225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581025</xdr:colOff>
      <xdr:row>87</xdr:row>
      <xdr:rowOff>133349</xdr:rowOff>
    </xdr:from>
    <xdr:to>
      <xdr:col>5</xdr:col>
      <xdr:colOff>28575</xdr:colOff>
      <xdr:row>89</xdr:row>
      <xdr:rowOff>28574</xdr:rowOff>
    </xdr:to>
    <xdr:sp macro="" textlink="">
      <xdr:nvSpPr>
        <xdr:cNvPr id="10" name="Right Bracket 9">
          <a:extLst>
            <a:ext uri="{FF2B5EF4-FFF2-40B4-BE49-F238E27FC236}">
              <a16:creationId xmlns:a16="http://schemas.microsoft.com/office/drawing/2014/main" xmlns="" id="{72927515-751A-405D-BBDC-FB6EF22C35A6}"/>
            </a:ext>
          </a:extLst>
        </xdr:cNvPr>
        <xdr:cNvSpPr/>
      </xdr:nvSpPr>
      <xdr:spPr>
        <a:xfrm>
          <a:off x="3629025" y="3562349"/>
          <a:ext cx="85725" cy="276225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342900</xdr:colOff>
      <xdr:row>87</xdr:row>
      <xdr:rowOff>152400</xdr:rowOff>
    </xdr:from>
    <xdr:to>
      <xdr:col>2</xdr:col>
      <xdr:colOff>476250</xdr:colOff>
      <xdr:row>89</xdr:row>
      <xdr:rowOff>57150</xdr:rowOff>
    </xdr:to>
    <xdr:sp macro="" textlink="">
      <xdr:nvSpPr>
        <xdr:cNvPr id="11" name="Right Bracket 10">
          <a:extLst>
            <a:ext uri="{FF2B5EF4-FFF2-40B4-BE49-F238E27FC236}">
              <a16:creationId xmlns:a16="http://schemas.microsoft.com/office/drawing/2014/main" xmlns="" id="{3A054E1B-645B-426E-B6F7-D0431C616682}"/>
            </a:ext>
          </a:extLst>
        </xdr:cNvPr>
        <xdr:cNvSpPr/>
      </xdr:nvSpPr>
      <xdr:spPr>
        <a:xfrm rot="10800000">
          <a:off x="2171700" y="3581400"/>
          <a:ext cx="133350" cy="2857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95249</xdr:colOff>
      <xdr:row>19</xdr:row>
      <xdr:rowOff>76200</xdr:rowOff>
    </xdr:to>
    <xdr:sp macro="" textlink="">
      <xdr:nvSpPr>
        <xdr:cNvPr id="12" name="Rectangle 1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OC@%208%25" TargetMode="External"/><Relationship Id="rId2" Type="http://schemas.openxmlformats.org/officeDocument/2006/relationships/hyperlink" Target="mailto:COC@%208%25" TargetMode="External"/><Relationship Id="rId1" Type="http://schemas.openxmlformats.org/officeDocument/2006/relationships/hyperlink" Target="mailto:COC@%208%2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C21" sqref="C21"/>
    </sheetView>
  </sheetViews>
  <sheetFormatPr defaultRowHeight="15" x14ac:dyDescent="0.25"/>
  <cols>
    <col min="1" max="1" width="10.5703125" bestFit="1" customWidth="1"/>
    <col min="2" max="2" width="10.7109375" bestFit="1" customWidth="1"/>
    <col min="3" max="3" width="10.5703125" bestFit="1" customWidth="1"/>
  </cols>
  <sheetData>
    <row r="2" spans="1:3" x14ac:dyDescent="0.25">
      <c r="A2" s="1" t="s">
        <v>0</v>
      </c>
    </row>
    <row r="4" spans="1:3" x14ac:dyDescent="0.25">
      <c r="A4" s="1" t="s">
        <v>1</v>
      </c>
      <c r="B4" s="1" t="s">
        <v>2</v>
      </c>
      <c r="C4" s="4" t="s">
        <v>3</v>
      </c>
    </row>
    <row r="5" spans="1:3" x14ac:dyDescent="0.25">
      <c r="A5" s="2">
        <v>10000</v>
      </c>
      <c r="B5" s="2">
        <v>0.2</v>
      </c>
      <c r="C5" s="2">
        <f>A5*B5</f>
        <v>2000</v>
      </c>
    </row>
    <row r="6" spans="1:3" x14ac:dyDescent="0.25">
      <c r="A6" s="2">
        <v>20000</v>
      </c>
      <c r="B6" s="2">
        <v>0.3</v>
      </c>
      <c r="C6" s="2">
        <f t="shared" ref="C6:C8" si="0">A6*B6</f>
        <v>6000</v>
      </c>
    </row>
    <row r="7" spans="1:3" x14ac:dyDescent="0.25">
      <c r="A7" s="2">
        <v>30000</v>
      </c>
      <c r="B7" s="2">
        <v>0.4</v>
      </c>
      <c r="C7" s="2">
        <f t="shared" si="0"/>
        <v>12000</v>
      </c>
    </row>
    <row r="8" spans="1:3" x14ac:dyDescent="0.25">
      <c r="A8" s="2">
        <v>40000</v>
      </c>
      <c r="B8" s="2">
        <v>0.1</v>
      </c>
      <c r="C8" s="2">
        <f t="shared" si="0"/>
        <v>4000</v>
      </c>
    </row>
    <row r="9" spans="1:3" ht="15.75" thickBot="1" x14ac:dyDescent="0.3">
      <c r="B9" s="3">
        <f>SUM(B5:B8)</f>
        <v>1</v>
      </c>
      <c r="C9" s="5">
        <f>SUM(C5:C8)</f>
        <v>24000</v>
      </c>
    </row>
    <row r="10" spans="1:3" ht="15.75" thickTop="1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workbookViewId="0">
      <selection activeCell="E22" sqref="E22"/>
    </sheetView>
  </sheetViews>
  <sheetFormatPr defaultRowHeight="15" x14ac:dyDescent="0.25"/>
  <cols>
    <col min="2" max="2" width="17.42578125" bestFit="1" customWidth="1"/>
    <col min="3" max="3" width="11.140625" bestFit="1" customWidth="1"/>
    <col min="4" max="4" width="10" bestFit="1" customWidth="1"/>
    <col min="5" max="5" width="10.28515625" bestFit="1" customWidth="1"/>
    <col min="6" max="7" width="10.5703125" bestFit="1" customWidth="1"/>
  </cols>
  <sheetData>
    <row r="2" spans="1:9" x14ac:dyDescent="0.25">
      <c r="A2" s="1" t="s">
        <v>153</v>
      </c>
      <c r="B2" s="1"/>
    </row>
    <row r="4" spans="1:9" x14ac:dyDescent="0.25">
      <c r="A4" s="1" t="s">
        <v>99</v>
      </c>
      <c r="B4" s="1"/>
      <c r="C4" s="4" t="s">
        <v>154</v>
      </c>
      <c r="D4" s="4" t="s">
        <v>101</v>
      </c>
      <c r="E4" s="4" t="s">
        <v>102</v>
      </c>
    </row>
    <row r="5" spans="1:9" x14ac:dyDescent="0.25">
      <c r="A5" s="20">
        <v>0</v>
      </c>
      <c r="B5" s="20" t="s">
        <v>103</v>
      </c>
      <c r="C5" s="2">
        <v>-7000</v>
      </c>
      <c r="D5" s="2">
        <v>1</v>
      </c>
      <c r="E5" s="2">
        <f>C5*D5</f>
        <v>-7000</v>
      </c>
    </row>
    <row r="6" spans="1:9" x14ac:dyDescent="0.25">
      <c r="A6" s="62" t="s">
        <v>104</v>
      </c>
      <c r="B6" s="62" t="s">
        <v>17</v>
      </c>
      <c r="C6" s="2">
        <v>7800</v>
      </c>
      <c r="D6" s="57">
        <f>(1-(1.08)^-2)/0.08</f>
        <v>1.7832647462277098</v>
      </c>
      <c r="E6" s="2">
        <f t="shared" ref="E6:E8" si="0">C6*D6</f>
        <v>13909.465020576137</v>
      </c>
      <c r="F6" s="3"/>
      <c r="G6" s="3" t="s">
        <v>155</v>
      </c>
      <c r="H6" s="3"/>
      <c r="I6" s="39"/>
    </row>
    <row r="7" spans="1:9" x14ac:dyDescent="0.25">
      <c r="A7" s="62" t="s">
        <v>104</v>
      </c>
      <c r="B7" s="62" t="s">
        <v>105</v>
      </c>
      <c r="C7" s="2">
        <v>-2000</v>
      </c>
      <c r="D7" s="57">
        <f>(1-(1.08)^-2)/0.08</f>
        <v>1.7832647462277098</v>
      </c>
      <c r="E7" s="2">
        <f t="shared" si="0"/>
        <v>-3566.5294924554196</v>
      </c>
    </row>
    <row r="8" spans="1:9" x14ac:dyDescent="0.25">
      <c r="A8" s="62" t="s">
        <v>104</v>
      </c>
      <c r="B8" s="62" t="s">
        <v>156</v>
      </c>
      <c r="C8" s="2">
        <v>-1450</v>
      </c>
      <c r="D8" s="57">
        <f>(1-(1.08)^-2)/0.08</f>
        <v>1.7832647462277098</v>
      </c>
      <c r="E8" s="2">
        <f t="shared" si="0"/>
        <v>-2585.7338820301793</v>
      </c>
    </row>
    <row r="9" spans="1:9" ht="15.75" thickBot="1" x14ac:dyDescent="0.3">
      <c r="D9" t="s">
        <v>157</v>
      </c>
      <c r="E9" s="5">
        <f>SUM(E5:E8)</f>
        <v>757.20164609053836</v>
      </c>
    </row>
    <row r="10" spans="1:9" ht="15.75" thickTop="1" x14ac:dyDescent="0.25"/>
    <row r="11" spans="1:9" x14ac:dyDescent="0.25">
      <c r="A11" s="61" t="s">
        <v>158</v>
      </c>
    </row>
    <row r="12" spans="1:9" x14ac:dyDescent="0.25">
      <c r="B12" t="s">
        <v>159</v>
      </c>
      <c r="D12" s="51">
        <f>E9/-C5</f>
        <v>0.10817166372721977</v>
      </c>
    </row>
    <row r="14" spans="1:9" x14ac:dyDescent="0.25">
      <c r="A14" t="s">
        <v>160</v>
      </c>
    </row>
    <row r="15" spans="1:9" x14ac:dyDescent="0.25">
      <c r="B15" t="s">
        <v>106</v>
      </c>
      <c r="C15" s="3">
        <f>+E9</f>
        <v>757.20164609053836</v>
      </c>
    </row>
    <row r="16" spans="1:9" x14ac:dyDescent="0.25">
      <c r="B16" t="s">
        <v>161</v>
      </c>
      <c r="C16" s="3">
        <f>SUM(E6:E7)</f>
        <v>10342.935528120717</v>
      </c>
    </row>
    <row r="17" spans="1:7" x14ac:dyDescent="0.25">
      <c r="C17" t="s">
        <v>162</v>
      </c>
      <c r="E17" s="51">
        <f>C15/C16</f>
        <v>7.3209549071618335E-2</v>
      </c>
    </row>
    <row r="19" spans="1:7" x14ac:dyDescent="0.25">
      <c r="A19" t="s">
        <v>163</v>
      </c>
    </row>
    <row r="20" spans="1:7" x14ac:dyDescent="0.25">
      <c r="B20" t="s">
        <v>164</v>
      </c>
      <c r="D20" s="51">
        <f>E9/E6</f>
        <v>5.4437869822485427E-2</v>
      </c>
    </row>
    <row r="22" spans="1:7" x14ac:dyDescent="0.25">
      <c r="A22" t="s">
        <v>165</v>
      </c>
    </row>
    <row r="23" spans="1:7" x14ac:dyDescent="0.25">
      <c r="B23" t="s">
        <v>166</v>
      </c>
      <c r="D23" s="51">
        <f>E9/-E7</f>
        <v>0.2123076923076932</v>
      </c>
    </row>
    <row r="25" spans="1:7" x14ac:dyDescent="0.25">
      <c r="A25" t="s">
        <v>167</v>
      </c>
    </row>
    <row r="26" spans="1:7" x14ac:dyDescent="0.25">
      <c r="B26" s="3" t="s">
        <v>168</v>
      </c>
      <c r="D26" s="50">
        <f>+E9/-E8</f>
        <v>0.29283819628647334</v>
      </c>
    </row>
    <row r="28" spans="1:7" x14ac:dyDescent="0.25">
      <c r="A28" t="s">
        <v>169</v>
      </c>
    </row>
    <row r="30" spans="1:7" x14ac:dyDescent="0.25">
      <c r="A30" s="1" t="s">
        <v>99</v>
      </c>
      <c r="B30" s="1"/>
      <c r="C30" s="4" t="s">
        <v>154</v>
      </c>
      <c r="D30" s="4" t="s">
        <v>101</v>
      </c>
      <c r="E30" s="4" t="s">
        <v>102</v>
      </c>
      <c r="F30" s="4" t="s">
        <v>170</v>
      </c>
      <c r="G30" s="4" t="s">
        <v>102</v>
      </c>
    </row>
    <row r="31" spans="1:7" x14ac:dyDescent="0.25">
      <c r="A31" s="20">
        <v>0</v>
      </c>
      <c r="B31" s="20" t="s">
        <v>103</v>
      </c>
      <c r="C31" s="2">
        <v>-7000</v>
      </c>
      <c r="D31" s="2">
        <v>1</v>
      </c>
      <c r="E31" s="2">
        <f>C31*D31</f>
        <v>-7000</v>
      </c>
      <c r="F31" s="35">
        <v>1</v>
      </c>
      <c r="G31" s="2">
        <f>C31*F31</f>
        <v>-7000</v>
      </c>
    </row>
    <row r="32" spans="1:7" x14ac:dyDescent="0.25">
      <c r="A32" s="62" t="s">
        <v>104</v>
      </c>
      <c r="B32" s="62" t="s">
        <v>17</v>
      </c>
      <c r="C32" s="2">
        <v>7800</v>
      </c>
      <c r="D32" s="57">
        <f>(1-(1.08)^-2)/0.08</f>
        <v>1.7832647462277098</v>
      </c>
      <c r="E32" s="2">
        <f t="shared" ref="E32:E34" si="1">C32*D32</f>
        <v>13909.465020576137</v>
      </c>
      <c r="F32" s="57">
        <f>(1-(1.15)^-2)/0.15</f>
        <v>1.6257088846880901</v>
      </c>
      <c r="G32" s="2">
        <f>C32*F32</f>
        <v>12680.529300567103</v>
      </c>
    </row>
    <row r="33" spans="1:10" x14ac:dyDescent="0.25">
      <c r="A33" s="62" t="s">
        <v>104</v>
      </c>
      <c r="B33" s="62" t="s">
        <v>105</v>
      </c>
      <c r="C33" s="2">
        <v>-2000</v>
      </c>
      <c r="D33" s="57">
        <f>(1-(1.08)^-2)/0.08</f>
        <v>1.7832647462277098</v>
      </c>
      <c r="E33" s="2">
        <f t="shared" si="1"/>
        <v>-3566.5294924554196</v>
      </c>
      <c r="F33" s="57">
        <f t="shared" ref="F33:F34" si="2">(1-(1.15)^-2)/0.15</f>
        <v>1.6257088846880901</v>
      </c>
      <c r="G33" s="2">
        <f>C33*F33</f>
        <v>-3251.4177693761799</v>
      </c>
    </row>
    <row r="34" spans="1:10" x14ac:dyDescent="0.25">
      <c r="A34" s="62" t="s">
        <v>104</v>
      </c>
      <c r="B34" s="62" t="s">
        <v>156</v>
      </c>
      <c r="C34" s="2">
        <v>-1450</v>
      </c>
      <c r="D34" s="57">
        <f>(1-(1.08)^-2)/0.08</f>
        <v>1.7832647462277098</v>
      </c>
      <c r="E34" s="2">
        <f t="shared" si="1"/>
        <v>-2585.7338820301793</v>
      </c>
      <c r="F34" s="57">
        <f t="shared" si="2"/>
        <v>1.6257088846880901</v>
      </c>
      <c r="G34" s="2">
        <f>C34*F34</f>
        <v>-2357.2778827977304</v>
      </c>
    </row>
    <row r="35" spans="1:10" ht="15.75" thickBot="1" x14ac:dyDescent="0.3">
      <c r="D35" t="s">
        <v>157</v>
      </c>
      <c r="E35" s="5">
        <f>SUM(E31:E34)</f>
        <v>757.20164609053836</v>
      </c>
      <c r="G35" s="5">
        <f>SUM(G31:G34)</f>
        <v>71.833648393192561</v>
      </c>
    </row>
    <row r="36" spans="1:10" ht="15.75" thickTop="1" x14ac:dyDescent="0.25"/>
    <row r="38" spans="1:10" x14ac:dyDescent="0.25">
      <c r="A38" t="s">
        <v>135</v>
      </c>
      <c r="B38" s="21" t="s">
        <v>136</v>
      </c>
      <c r="C38" s="67" t="s">
        <v>53</v>
      </c>
      <c r="D38" s="68" t="s">
        <v>137</v>
      </c>
      <c r="E38" s="69" t="s">
        <v>138</v>
      </c>
      <c r="F38" s="69"/>
      <c r="G38" s="69"/>
      <c r="H38" s="67" t="s">
        <v>139</v>
      </c>
      <c r="I38" s="67" t="s">
        <v>140</v>
      </c>
      <c r="J38" s="12" t="s">
        <v>141</v>
      </c>
    </row>
    <row r="39" spans="1:10" x14ac:dyDescent="0.25">
      <c r="C39" s="67"/>
      <c r="D39" s="68"/>
      <c r="E39" s="12" t="s">
        <v>142</v>
      </c>
      <c r="F39" s="53" t="s">
        <v>143</v>
      </c>
      <c r="G39" t="s">
        <v>144</v>
      </c>
      <c r="H39" s="67"/>
      <c r="I39" s="67"/>
    </row>
    <row r="42" spans="1:10" x14ac:dyDescent="0.25">
      <c r="C42" s="66">
        <v>0.08</v>
      </c>
      <c r="D42" s="68" t="s">
        <v>137</v>
      </c>
      <c r="E42" s="70">
        <f>+E35</f>
        <v>757.20164609053836</v>
      </c>
      <c r="F42" s="69"/>
      <c r="G42" s="69"/>
      <c r="H42" s="67" t="s">
        <v>139</v>
      </c>
      <c r="I42" s="67" t="s">
        <v>171</v>
      </c>
      <c r="J42" s="12" t="s">
        <v>141</v>
      </c>
    </row>
    <row r="43" spans="1:10" x14ac:dyDescent="0.25">
      <c r="C43" s="67"/>
      <c r="D43" s="68"/>
      <c r="E43" s="3">
        <f>+E35</f>
        <v>757.20164609053836</v>
      </c>
      <c r="F43" s="53" t="s">
        <v>143</v>
      </c>
      <c r="G43" s="54">
        <f>G35</f>
        <v>71.833648393192561</v>
      </c>
      <c r="H43" s="67"/>
      <c r="I43" s="67"/>
    </row>
    <row r="46" spans="1:10" x14ac:dyDescent="0.25">
      <c r="C46" s="66">
        <v>0.08</v>
      </c>
      <c r="D46" s="68" t="s">
        <v>137</v>
      </c>
      <c r="E46" s="55">
        <f>+E42</f>
        <v>757.20164609053836</v>
      </c>
      <c r="F46" s="67" t="s">
        <v>139</v>
      </c>
      <c r="G46" s="66">
        <v>7.0000000000000007E-2</v>
      </c>
      <c r="H46" s="12" t="s">
        <v>141</v>
      </c>
    </row>
    <row r="47" spans="1:10" x14ac:dyDescent="0.25">
      <c r="C47" s="67"/>
      <c r="D47" s="68"/>
      <c r="E47" s="2">
        <f>+E35-G35</f>
        <v>685.3679976973458</v>
      </c>
      <c r="F47" s="67"/>
      <c r="G47" s="67"/>
    </row>
    <row r="50" spans="3:8" x14ac:dyDescent="0.25">
      <c r="C50">
        <v>0.08</v>
      </c>
      <c r="D50" s="56" t="s">
        <v>137</v>
      </c>
      <c r="E50" s="3">
        <f>+E46/E47</f>
        <v>1.104810333477102</v>
      </c>
      <c r="F50" t="s">
        <v>139</v>
      </c>
      <c r="G50">
        <v>7.0000000000000007E-2</v>
      </c>
      <c r="H50" s="12" t="s">
        <v>141</v>
      </c>
    </row>
    <row r="52" spans="3:8" x14ac:dyDescent="0.25">
      <c r="C52">
        <v>0.08</v>
      </c>
      <c r="D52" s="56" t="s">
        <v>137</v>
      </c>
      <c r="E52" s="57">
        <f>+E50*G50</f>
        <v>7.7336723343397154E-2</v>
      </c>
      <c r="F52" s="12" t="s">
        <v>141</v>
      </c>
    </row>
    <row r="54" spans="3:8" ht="15.75" thickBot="1" x14ac:dyDescent="0.3">
      <c r="D54" s="58">
        <f>C52+E52</f>
        <v>0.15733672334339716</v>
      </c>
    </row>
    <row r="55" spans="3:8" ht="15.75" thickTop="1" x14ac:dyDescent="0.25"/>
    <row r="57" spans="3:8" x14ac:dyDescent="0.25">
      <c r="C57" t="s">
        <v>172</v>
      </c>
      <c r="E57" t="s">
        <v>173</v>
      </c>
      <c r="F57" s="63">
        <f>9.73/8</f>
        <v>1.2162500000000001</v>
      </c>
    </row>
  </sheetData>
  <mergeCells count="14">
    <mergeCell ref="H38:H39"/>
    <mergeCell ref="I38:I39"/>
    <mergeCell ref="C42:C43"/>
    <mergeCell ref="D42:D43"/>
    <mergeCell ref="E42:G42"/>
    <mergeCell ref="H42:H43"/>
    <mergeCell ref="I42:I43"/>
    <mergeCell ref="C46:C47"/>
    <mergeCell ref="D46:D47"/>
    <mergeCell ref="F46:F47"/>
    <mergeCell ref="G46:G47"/>
    <mergeCell ref="C38:C39"/>
    <mergeCell ref="D38:D39"/>
    <mergeCell ref="E38:G38"/>
  </mergeCells>
  <hyperlinks>
    <hyperlink ref="D4" r:id="rId1" display="COC@ 8%"/>
    <hyperlink ref="D30" r:id="rId2" display="COC@ 8%"/>
    <hyperlink ref="F30" r:id="rId3" display="COC@ 8%"/>
  </hyperlinks>
  <pageMargins left="0.7" right="0.7" top="0.75" bottom="0.75" header="0.3" footer="0.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"/>
  <sheetViews>
    <sheetView zoomScale="98" zoomScaleNormal="98" workbookViewId="0">
      <selection activeCell="B22" sqref="B22"/>
    </sheetView>
  </sheetViews>
  <sheetFormatPr defaultRowHeight="15" x14ac:dyDescent="0.25"/>
  <cols>
    <col min="2" max="2" width="39.42578125" customWidth="1"/>
    <col min="6" max="6" width="13.5703125" customWidth="1"/>
    <col min="7" max="7" width="10.28515625" customWidth="1"/>
    <col min="11" max="11" width="19.140625" customWidth="1"/>
  </cols>
  <sheetData>
    <row r="2" spans="1:4" x14ac:dyDescent="0.25">
      <c r="A2" s="1" t="s">
        <v>174</v>
      </c>
    </row>
    <row r="4" spans="1:4" x14ac:dyDescent="0.25">
      <c r="A4" t="s">
        <v>175</v>
      </c>
    </row>
    <row r="5" spans="1:4" x14ac:dyDescent="0.25">
      <c r="B5" t="s">
        <v>176</v>
      </c>
      <c r="C5" s="13">
        <v>0.6</v>
      </c>
    </row>
    <row r="6" spans="1:4" x14ac:dyDescent="0.25">
      <c r="B6" t="s">
        <v>177</v>
      </c>
      <c r="C6" s="28">
        <f>0.48/0.6</f>
        <v>0.8</v>
      </c>
      <c r="D6" t="s">
        <v>178</v>
      </c>
    </row>
    <row r="7" spans="1:4" ht="15.75" thickBot="1" x14ac:dyDescent="0.3">
      <c r="B7" t="s">
        <v>179</v>
      </c>
      <c r="C7" s="27">
        <v>0.48</v>
      </c>
    </row>
    <row r="8" spans="1:4" ht="15.75" thickTop="1" x14ac:dyDescent="0.25"/>
    <row r="9" spans="1:4" x14ac:dyDescent="0.25">
      <c r="A9" t="s">
        <v>180</v>
      </c>
      <c r="C9" t="s">
        <v>181</v>
      </c>
    </row>
    <row r="11" spans="1:4" x14ac:dyDescent="0.25">
      <c r="A11" t="s">
        <v>182</v>
      </c>
    </row>
    <row r="12" spans="1:4" x14ac:dyDescent="0.25">
      <c r="B12" t="s">
        <v>176</v>
      </c>
      <c r="C12" s="13">
        <v>0.8</v>
      </c>
    </row>
    <row r="13" spans="1:4" x14ac:dyDescent="0.25">
      <c r="B13" t="s">
        <v>177</v>
      </c>
      <c r="C13" s="28">
        <f>0.48/0.8</f>
        <v>0.6</v>
      </c>
      <c r="D13" t="s">
        <v>183</v>
      </c>
    </row>
    <row r="14" spans="1:4" ht="15.75" thickBot="1" x14ac:dyDescent="0.3">
      <c r="B14" t="s">
        <v>179</v>
      </c>
      <c r="C14" s="27">
        <v>0.48</v>
      </c>
    </row>
    <row r="15" spans="1:4" ht="15.75" thickTop="1" x14ac:dyDescent="0.25"/>
    <row r="16" spans="1:4" x14ac:dyDescent="0.25">
      <c r="A16" t="s">
        <v>184</v>
      </c>
      <c r="C16" t="s">
        <v>185</v>
      </c>
    </row>
    <row r="18" spans="1:12" x14ac:dyDescent="0.25">
      <c r="A18" t="s">
        <v>186</v>
      </c>
      <c r="H18" t="s">
        <v>187</v>
      </c>
      <c r="I18" s="29">
        <v>0.8</v>
      </c>
      <c r="J18" s="10" t="s">
        <v>188</v>
      </c>
    </row>
    <row r="19" spans="1:12" x14ac:dyDescent="0.25">
      <c r="J19" s="10" t="s">
        <v>189</v>
      </c>
    </row>
    <row r="22" spans="1:12" x14ac:dyDescent="0.25">
      <c r="E22" t="s">
        <v>190</v>
      </c>
      <c r="F22" s="29">
        <v>0.6</v>
      </c>
    </row>
    <row r="23" spans="1:12" x14ac:dyDescent="0.25">
      <c r="H23" t="s">
        <v>191</v>
      </c>
      <c r="I23" s="29">
        <v>0.2</v>
      </c>
      <c r="J23">
        <v>0</v>
      </c>
      <c r="L23" s="10" t="s">
        <v>192</v>
      </c>
    </row>
    <row r="24" spans="1:12" x14ac:dyDescent="0.25">
      <c r="F24" s="10" t="s">
        <v>193</v>
      </c>
      <c r="K24" s="12" t="s">
        <v>194</v>
      </c>
      <c r="L24" s="10" t="s">
        <v>195</v>
      </c>
    </row>
    <row r="25" spans="1:12" x14ac:dyDescent="0.25">
      <c r="F25" s="10" t="s">
        <v>196</v>
      </c>
    </row>
    <row r="27" spans="1:12" x14ac:dyDescent="0.25">
      <c r="C27" s="12" t="s">
        <v>197</v>
      </c>
      <c r="H27" s="12" t="s">
        <v>198</v>
      </c>
    </row>
    <row r="28" spans="1:12" x14ac:dyDescent="0.25">
      <c r="K28" s="12" t="s">
        <v>199</v>
      </c>
      <c r="L28">
        <v>0</v>
      </c>
    </row>
    <row r="29" spans="1:12" x14ac:dyDescent="0.25">
      <c r="E29" t="s">
        <v>200</v>
      </c>
      <c r="F29" s="29">
        <v>0.4</v>
      </c>
    </row>
    <row r="31" spans="1:12" x14ac:dyDescent="0.25">
      <c r="H31" s="12" t="s">
        <v>201</v>
      </c>
      <c r="K31" s="12" t="s">
        <v>202</v>
      </c>
      <c r="L31" s="10" t="s">
        <v>192</v>
      </c>
    </row>
    <row r="32" spans="1:12" x14ac:dyDescent="0.25">
      <c r="L32" s="10" t="s">
        <v>203</v>
      </c>
    </row>
    <row r="35" spans="3:13" x14ac:dyDescent="0.25">
      <c r="K35" s="12" t="s">
        <v>204</v>
      </c>
      <c r="L35">
        <v>0</v>
      </c>
    </row>
    <row r="38" spans="3:13" x14ac:dyDescent="0.25">
      <c r="H38" t="s">
        <v>187</v>
      </c>
      <c r="I38" s="29">
        <v>0.6</v>
      </c>
      <c r="J38" s="10" t="s">
        <v>188</v>
      </c>
    </row>
    <row r="39" spans="3:13" x14ac:dyDescent="0.25">
      <c r="J39" s="10" t="s">
        <v>189</v>
      </c>
    </row>
    <row r="41" spans="3:13" x14ac:dyDescent="0.25">
      <c r="E41" s="12" t="s">
        <v>190</v>
      </c>
      <c r="F41" s="29">
        <v>0.8</v>
      </c>
    </row>
    <row r="42" spans="3:13" x14ac:dyDescent="0.25">
      <c r="C42" s="12" t="s">
        <v>205</v>
      </c>
      <c r="F42" s="10" t="s">
        <v>193</v>
      </c>
    </row>
    <row r="43" spans="3:13" x14ac:dyDescent="0.25">
      <c r="F43" s="10" t="s">
        <v>206</v>
      </c>
      <c r="H43" t="s">
        <v>191</v>
      </c>
      <c r="I43" s="29">
        <v>0.4</v>
      </c>
      <c r="J43">
        <v>0</v>
      </c>
      <c r="M43" s="10" t="s">
        <v>192</v>
      </c>
    </row>
    <row r="44" spans="3:13" x14ac:dyDescent="0.25">
      <c r="F44" s="30" t="s">
        <v>207</v>
      </c>
      <c r="K44" s="12" t="s">
        <v>194</v>
      </c>
      <c r="M44" s="10" t="s">
        <v>195</v>
      </c>
    </row>
    <row r="45" spans="3:13" x14ac:dyDescent="0.25">
      <c r="E45" t="s">
        <v>200</v>
      </c>
      <c r="F45" s="29">
        <v>0.2</v>
      </c>
    </row>
    <row r="47" spans="3:13" x14ac:dyDescent="0.25">
      <c r="I47" s="12" t="s">
        <v>198</v>
      </c>
    </row>
    <row r="48" spans="3:13" x14ac:dyDescent="0.25">
      <c r="K48" s="12" t="s">
        <v>199</v>
      </c>
      <c r="M48">
        <v>0</v>
      </c>
    </row>
    <row r="51" spans="1:13" x14ac:dyDescent="0.25">
      <c r="K51" s="12" t="s">
        <v>202</v>
      </c>
      <c r="M51" s="10" t="s">
        <v>192</v>
      </c>
    </row>
    <row r="52" spans="1:13" x14ac:dyDescent="0.25">
      <c r="I52" s="12" t="s">
        <v>201</v>
      </c>
      <c r="M52" s="10" t="s">
        <v>203</v>
      </c>
    </row>
    <row r="56" spans="1:13" x14ac:dyDescent="0.25">
      <c r="A56" t="s">
        <v>60</v>
      </c>
      <c r="B56" t="s">
        <v>208</v>
      </c>
      <c r="C56" s="2">
        <f>600*0.8</f>
        <v>480</v>
      </c>
      <c r="K56" s="12" t="s">
        <v>204</v>
      </c>
      <c r="M56">
        <v>0</v>
      </c>
    </row>
    <row r="57" spans="1:13" x14ac:dyDescent="0.25">
      <c r="A57" t="s">
        <v>67</v>
      </c>
      <c r="B57" t="s">
        <v>209</v>
      </c>
      <c r="C57" s="2">
        <f>450*0.4</f>
        <v>180</v>
      </c>
    </row>
    <row r="58" spans="1:13" x14ac:dyDescent="0.25">
      <c r="A58" t="s">
        <v>72</v>
      </c>
      <c r="B58" t="s">
        <v>210</v>
      </c>
      <c r="C58" s="2">
        <f>150*0.5</f>
        <v>75</v>
      </c>
    </row>
    <row r="59" spans="1:13" x14ac:dyDescent="0.25">
      <c r="A59" t="s">
        <v>211</v>
      </c>
      <c r="B59" t="s">
        <v>212</v>
      </c>
      <c r="C59" s="2">
        <v>180</v>
      </c>
    </row>
    <row r="60" spans="1:13" ht="15.75" thickBot="1" x14ac:dyDescent="0.3">
      <c r="A60" t="s">
        <v>53</v>
      </c>
      <c r="B60" t="s">
        <v>213</v>
      </c>
      <c r="C60" s="31">
        <f>(480+300)*0.6+(180*0.4)</f>
        <v>540</v>
      </c>
    </row>
    <row r="61" spans="1:13" ht="15.75" thickTop="1" x14ac:dyDescent="0.25"/>
    <row r="62" spans="1:13" x14ac:dyDescent="0.25">
      <c r="A62" t="s">
        <v>214</v>
      </c>
      <c r="B62" t="s">
        <v>215</v>
      </c>
      <c r="C62" s="2">
        <f>600*0.6</f>
        <v>360</v>
      </c>
    </row>
    <row r="63" spans="1:13" x14ac:dyDescent="0.25">
      <c r="A63" t="s">
        <v>216</v>
      </c>
      <c r="B63" t="s">
        <v>209</v>
      </c>
      <c r="C63" s="2">
        <f>450*0.4</f>
        <v>180</v>
      </c>
    </row>
    <row r="64" spans="1:13" x14ac:dyDescent="0.25">
      <c r="A64" t="s">
        <v>217</v>
      </c>
      <c r="B64" t="s">
        <v>210</v>
      </c>
      <c r="C64" s="2">
        <f>150*0.5</f>
        <v>75</v>
      </c>
    </row>
    <row r="65" spans="1:4" x14ac:dyDescent="0.25">
      <c r="A65" t="s">
        <v>218</v>
      </c>
      <c r="B65" t="s">
        <v>219</v>
      </c>
      <c r="C65" s="2">
        <v>180</v>
      </c>
    </row>
    <row r="66" spans="1:4" ht="15.75" thickBot="1" x14ac:dyDescent="0.3">
      <c r="A66" t="s">
        <v>93</v>
      </c>
      <c r="B66" t="s">
        <v>220</v>
      </c>
      <c r="C66" s="31">
        <f>(360+200)*0.8+(180*0.2)</f>
        <v>484</v>
      </c>
    </row>
    <row r="67" spans="1:4" ht="15.75" thickTop="1" x14ac:dyDescent="0.25"/>
    <row r="69" spans="1:4" x14ac:dyDescent="0.25">
      <c r="A69" t="s">
        <v>221</v>
      </c>
      <c r="B69" s="10" t="s">
        <v>222</v>
      </c>
      <c r="C69" s="33">
        <f>+C60</f>
        <v>540</v>
      </c>
      <c r="D69" t="s">
        <v>223</v>
      </c>
    </row>
    <row r="70" spans="1:4" x14ac:dyDescent="0.25">
      <c r="B70" s="22" t="s">
        <v>224</v>
      </c>
      <c r="C70" s="32">
        <f>+C66</f>
        <v>484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F23" sqref="F23"/>
    </sheetView>
  </sheetViews>
  <sheetFormatPr defaultRowHeight="15" x14ac:dyDescent="0.25"/>
  <sheetData>
    <row r="2" spans="1:10" x14ac:dyDescent="0.25">
      <c r="A2" s="1" t="s">
        <v>225</v>
      </c>
    </row>
    <row r="3" spans="1:10" x14ac:dyDescent="0.25">
      <c r="A3" s="1"/>
    </row>
    <row r="4" spans="1:10" x14ac:dyDescent="0.25">
      <c r="A4" s="1"/>
    </row>
    <row r="5" spans="1:10" x14ac:dyDescent="0.25">
      <c r="A5" s="1"/>
    </row>
    <row r="6" spans="1:10" x14ac:dyDescent="0.25">
      <c r="A6" s="1"/>
      <c r="I6" t="s">
        <v>226</v>
      </c>
    </row>
    <row r="7" spans="1:10" x14ac:dyDescent="0.25">
      <c r="A7" s="1"/>
      <c r="J7">
        <v>0.4</v>
      </c>
    </row>
    <row r="8" spans="1:10" x14ac:dyDescent="0.25">
      <c r="A8" s="1"/>
      <c r="I8" t="s">
        <v>55</v>
      </c>
    </row>
    <row r="9" spans="1:10" x14ac:dyDescent="0.25">
      <c r="A9" s="1"/>
      <c r="I9" t="s">
        <v>227</v>
      </c>
    </row>
    <row r="10" spans="1:10" x14ac:dyDescent="0.25">
      <c r="A10" s="1"/>
    </row>
    <row r="11" spans="1:10" x14ac:dyDescent="0.25">
      <c r="F11" t="s">
        <v>228</v>
      </c>
    </row>
    <row r="12" spans="1:10" x14ac:dyDescent="0.25">
      <c r="I12" t="s">
        <v>62</v>
      </c>
    </row>
    <row r="13" spans="1:10" x14ac:dyDescent="0.25">
      <c r="F13" t="s">
        <v>229</v>
      </c>
      <c r="I13" t="s">
        <v>230</v>
      </c>
    </row>
    <row r="14" spans="1:10" x14ac:dyDescent="0.25">
      <c r="C14" t="s">
        <v>231</v>
      </c>
      <c r="F14" t="s">
        <v>232</v>
      </c>
      <c r="J14">
        <v>0.6</v>
      </c>
    </row>
    <row r="19" spans="3:11" x14ac:dyDescent="0.25">
      <c r="C19" t="s">
        <v>55</v>
      </c>
    </row>
    <row r="20" spans="3:11" x14ac:dyDescent="0.25">
      <c r="C20">
        <v>0.4</v>
      </c>
      <c r="F20" t="s">
        <v>233</v>
      </c>
    </row>
    <row r="24" spans="3:11" x14ac:dyDescent="0.25">
      <c r="K24" s="20">
        <v>0.6</v>
      </c>
    </row>
    <row r="25" spans="3:11" x14ac:dyDescent="0.25">
      <c r="I25" s="12" t="s">
        <v>55</v>
      </c>
    </row>
    <row r="26" spans="3:11" x14ac:dyDescent="0.25">
      <c r="J26" t="s">
        <v>196</v>
      </c>
    </row>
    <row r="28" spans="3:11" x14ac:dyDescent="0.25">
      <c r="C28" t="s">
        <v>62</v>
      </c>
      <c r="F28" t="s">
        <v>229</v>
      </c>
    </row>
    <row r="29" spans="3:11" x14ac:dyDescent="0.25">
      <c r="C29">
        <v>0.6</v>
      </c>
      <c r="F29" t="s">
        <v>232</v>
      </c>
      <c r="J29" t="s">
        <v>55</v>
      </c>
    </row>
    <row r="30" spans="3:11" x14ac:dyDescent="0.25">
      <c r="J30" t="s">
        <v>234</v>
      </c>
      <c r="K30" s="20">
        <v>0.4</v>
      </c>
    </row>
    <row r="33" spans="6:6" x14ac:dyDescent="0.25">
      <c r="F33" t="s">
        <v>233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A22" sqref="A22"/>
    </sheetView>
  </sheetViews>
  <sheetFormatPr defaultRowHeight="15" x14ac:dyDescent="0.25"/>
  <cols>
    <col min="1" max="1" width="25.140625" bestFit="1" customWidth="1"/>
    <col min="2" max="2" width="12.5703125" customWidth="1"/>
    <col min="4" max="4" width="14" bestFit="1" customWidth="1"/>
    <col min="10" max="10" width="11.5703125" bestFit="1" customWidth="1"/>
    <col min="12" max="12" width="11.5703125" bestFit="1" customWidth="1"/>
  </cols>
  <sheetData>
    <row r="2" spans="1:12" x14ac:dyDescent="0.25">
      <c r="A2" s="1" t="s">
        <v>4</v>
      </c>
    </row>
    <row r="4" spans="1:12" x14ac:dyDescent="0.25">
      <c r="A4" t="s">
        <v>5</v>
      </c>
      <c r="B4" t="s">
        <v>6</v>
      </c>
      <c r="D4" s="2">
        <f>189000*12</f>
        <v>2268000</v>
      </c>
      <c r="I4" t="s">
        <v>7</v>
      </c>
    </row>
    <row r="5" spans="1:12" x14ac:dyDescent="0.25">
      <c r="A5" t="s">
        <v>8</v>
      </c>
      <c r="B5" t="s">
        <v>9</v>
      </c>
      <c r="D5" s="2">
        <f>-189000*7.6</f>
        <v>-1436400</v>
      </c>
      <c r="J5" s="2">
        <v>150000</v>
      </c>
      <c r="K5">
        <v>0.3</v>
      </c>
      <c r="L5" s="3">
        <f>J5*K5</f>
        <v>45000</v>
      </c>
    </row>
    <row r="6" spans="1:12" x14ac:dyDescent="0.25">
      <c r="A6" t="s">
        <v>10</v>
      </c>
      <c r="D6" s="3">
        <f>SUM(D4:D5)</f>
        <v>831600</v>
      </c>
      <c r="J6" s="2">
        <v>200000</v>
      </c>
      <c r="K6">
        <v>0.6</v>
      </c>
      <c r="L6" s="3">
        <f t="shared" ref="L6:L7" si="0">J6*K6</f>
        <v>120000</v>
      </c>
    </row>
    <row r="7" spans="1:12" x14ac:dyDescent="0.25">
      <c r="A7" t="s">
        <v>11</v>
      </c>
      <c r="D7" s="2">
        <v>-500000</v>
      </c>
      <c r="J7" s="2">
        <v>240000</v>
      </c>
      <c r="K7">
        <v>0.1</v>
      </c>
      <c r="L7" s="3">
        <f t="shared" si="0"/>
        <v>24000</v>
      </c>
    </row>
    <row r="8" spans="1:12" ht="15.75" thickBot="1" x14ac:dyDescent="0.3">
      <c r="A8" s="1" t="s">
        <v>12</v>
      </c>
      <c r="B8" s="1"/>
      <c r="C8" s="1"/>
      <c r="D8" s="7">
        <f>SUM(D6:D7)</f>
        <v>331600</v>
      </c>
      <c r="J8" s="2"/>
      <c r="K8">
        <f>SUM(K5:K7)</f>
        <v>0.99999999999999989</v>
      </c>
      <c r="L8" s="3">
        <f>SUM(L5:L7)</f>
        <v>189000</v>
      </c>
    </row>
    <row r="9" spans="1:12" ht="15.75" thickTop="1" x14ac:dyDescent="0.25"/>
    <row r="10" spans="1:12" x14ac:dyDescent="0.25">
      <c r="I10" t="s">
        <v>13</v>
      </c>
    </row>
    <row r="11" spans="1:12" x14ac:dyDescent="0.25">
      <c r="J11">
        <v>6</v>
      </c>
      <c r="K11">
        <v>0.1</v>
      </c>
      <c r="L11" s="2">
        <f>J11*K11</f>
        <v>0.60000000000000009</v>
      </c>
    </row>
    <row r="12" spans="1:12" x14ac:dyDescent="0.25">
      <c r="J12">
        <v>7</v>
      </c>
      <c r="K12">
        <v>0.3</v>
      </c>
      <c r="L12" s="2">
        <f t="shared" ref="L12:L14" si="1">J12*K12</f>
        <v>2.1</v>
      </c>
    </row>
    <row r="13" spans="1:12" x14ac:dyDescent="0.25">
      <c r="J13">
        <v>8</v>
      </c>
      <c r="K13">
        <v>0.5</v>
      </c>
      <c r="L13" s="2">
        <f t="shared" si="1"/>
        <v>4</v>
      </c>
    </row>
    <row r="14" spans="1:12" x14ac:dyDescent="0.25">
      <c r="J14">
        <v>9</v>
      </c>
      <c r="K14">
        <v>0.1</v>
      </c>
      <c r="L14" s="2">
        <f t="shared" si="1"/>
        <v>0.9</v>
      </c>
    </row>
    <row r="15" spans="1:12" x14ac:dyDescent="0.25">
      <c r="K15" s="6">
        <f>SUM(K11:K14)</f>
        <v>1</v>
      </c>
      <c r="L15" s="2">
        <f>SUM(L11:L14)</f>
        <v>7.6000000000000005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C22" sqref="C22"/>
    </sheetView>
  </sheetViews>
  <sheetFormatPr defaultRowHeight="15" x14ac:dyDescent="0.25"/>
  <cols>
    <col min="2" max="2" width="11.28515625" customWidth="1"/>
    <col min="3" max="3" width="10.5703125" bestFit="1" customWidth="1"/>
    <col min="4" max="4" width="11.28515625" bestFit="1" customWidth="1"/>
    <col min="5" max="5" width="13" customWidth="1"/>
    <col min="6" max="6" width="9.5703125" bestFit="1" customWidth="1"/>
    <col min="7" max="7" width="11.28515625" bestFit="1" customWidth="1"/>
  </cols>
  <sheetData>
    <row r="2" spans="1:7" x14ac:dyDescent="0.25">
      <c r="A2" s="1" t="s">
        <v>14</v>
      </c>
      <c r="B2" s="1"/>
    </row>
    <row r="4" spans="1:7" x14ac:dyDescent="0.25">
      <c r="C4" s="64" t="s">
        <v>15</v>
      </c>
      <c r="D4" s="64"/>
      <c r="F4" s="65" t="s">
        <v>16</v>
      </c>
      <c r="G4" s="65"/>
    </row>
    <row r="5" spans="1:7" x14ac:dyDescent="0.25">
      <c r="A5" t="s">
        <v>17</v>
      </c>
      <c r="D5" s="2">
        <v>30000</v>
      </c>
      <c r="E5" s="2"/>
      <c r="F5" s="2"/>
      <c r="G5" s="2">
        <v>30000</v>
      </c>
    </row>
    <row r="6" spans="1:7" x14ac:dyDescent="0.25">
      <c r="A6" t="s">
        <v>18</v>
      </c>
      <c r="D6" s="2"/>
      <c r="E6" s="2"/>
      <c r="F6" s="2"/>
      <c r="G6" s="2"/>
    </row>
    <row r="7" spans="1:7" x14ac:dyDescent="0.25">
      <c r="B7" t="s">
        <v>19</v>
      </c>
      <c r="C7" s="2">
        <f>15000*0.29</f>
        <v>4350</v>
      </c>
      <c r="E7" t="s">
        <v>20</v>
      </c>
      <c r="F7" s="2">
        <f>14000*0.03</f>
        <v>420</v>
      </c>
    </row>
    <row r="8" spans="1:7" x14ac:dyDescent="0.25">
      <c r="B8" t="s">
        <v>21</v>
      </c>
      <c r="C8" s="2">
        <f>20000*0.54</f>
        <v>10800</v>
      </c>
      <c r="E8" t="s">
        <v>22</v>
      </c>
      <c r="F8" s="2">
        <f>17000*0.3</f>
        <v>5100</v>
      </c>
    </row>
    <row r="9" spans="1:7" x14ac:dyDescent="0.25">
      <c r="B9" t="s">
        <v>23</v>
      </c>
      <c r="C9" s="2">
        <f>30000*0.17</f>
        <v>5100</v>
      </c>
      <c r="D9" s="3">
        <f>-SUM(C7:C9)</f>
        <v>-20250</v>
      </c>
      <c r="E9" t="s">
        <v>24</v>
      </c>
      <c r="F9" s="2">
        <f>21000*0.35</f>
        <v>7349.9999999999991</v>
      </c>
    </row>
    <row r="10" spans="1:7" x14ac:dyDescent="0.25">
      <c r="E10" t="s">
        <v>25</v>
      </c>
      <c r="F10" s="2">
        <f>24000*0.32</f>
        <v>7680</v>
      </c>
      <c r="G10" s="3">
        <f>-SUM(F7:F10)</f>
        <v>-20550</v>
      </c>
    </row>
    <row r="11" spans="1:7" ht="15.75" thickBot="1" x14ac:dyDescent="0.3">
      <c r="A11" s="1" t="s">
        <v>26</v>
      </c>
      <c r="B11" s="1"/>
      <c r="C11" s="1"/>
      <c r="D11" s="8">
        <f>SUM(D5:D10)</f>
        <v>9750</v>
      </c>
      <c r="E11" s="1"/>
      <c r="F11" s="1"/>
      <c r="G11" s="7">
        <f>SUM(G5:G10)</f>
        <v>9450</v>
      </c>
    </row>
    <row r="12" spans="1:7" ht="15.75" thickTop="1" x14ac:dyDescent="0.25">
      <c r="D12" s="9" t="s">
        <v>27</v>
      </c>
    </row>
    <row r="13" spans="1:7" x14ac:dyDescent="0.25">
      <c r="D13" s="10"/>
    </row>
  </sheetData>
  <mergeCells count="2">
    <mergeCell ref="C4:D4"/>
    <mergeCell ref="F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/>
  </sheetViews>
  <sheetFormatPr defaultRowHeight="15" x14ac:dyDescent="0.25"/>
  <cols>
    <col min="1" max="1" width="10.28515625" customWidth="1"/>
    <col min="2" max="2" width="11.5703125" bestFit="1" customWidth="1"/>
    <col min="3" max="3" width="10.28515625" customWidth="1"/>
    <col min="4" max="4" width="12.140625" customWidth="1"/>
    <col min="5" max="5" width="13" customWidth="1"/>
  </cols>
  <sheetData>
    <row r="2" spans="1:5" x14ac:dyDescent="0.25">
      <c r="A2" s="1" t="s">
        <v>28</v>
      </c>
    </row>
    <row r="4" spans="1:5" x14ac:dyDescent="0.25">
      <c r="A4" t="s">
        <v>29</v>
      </c>
      <c r="B4" t="s">
        <v>30</v>
      </c>
      <c r="C4" s="4" t="s">
        <v>31</v>
      </c>
      <c r="D4" s="4" t="s">
        <v>32</v>
      </c>
      <c r="E4" s="4" t="s">
        <v>33</v>
      </c>
    </row>
    <row r="5" spans="1:5" x14ac:dyDescent="0.25">
      <c r="A5" t="s">
        <v>34</v>
      </c>
      <c r="B5" s="13">
        <v>0.25</v>
      </c>
      <c r="C5" s="2">
        <f>10*0.25</f>
        <v>2.5</v>
      </c>
      <c r="D5" s="16">
        <f>16*B5</f>
        <v>4</v>
      </c>
      <c r="E5" s="2">
        <f>12*B5</f>
        <v>3</v>
      </c>
    </row>
    <row r="6" spans="1:5" x14ac:dyDescent="0.25">
      <c r="A6" t="s">
        <v>35</v>
      </c>
      <c r="B6" s="13">
        <v>0.4</v>
      </c>
      <c r="C6" s="2">
        <f>2.5*B6</f>
        <v>1</v>
      </c>
      <c r="D6" s="2">
        <f>3*B6</f>
        <v>1.2000000000000002</v>
      </c>
      <c r="E6" s="16">
        <f>3.75*B6</f>
        <v>1.5</v>
      </c>
    </row>
    <row r="7" spans="1:5" x14ac:dyDescent="0.25">
      <c r="A7" t="s">
        <v>36</v>
      </c>
      <c r="B7" s="13">
        <v>0.35</v>
      </c>
      <c r="C7" s="16">
        <f>2*B7</f>
        <v>0.7</v>
      </c>
      <c r="D7" s="2">
        <f>1.4*B7</f>
        <v>0.48999999999999994</v>
      </c>
      <c r="E7" s="2">
        <f>1*B7</f>
        <v>0.35</v>
      </c>
    </row>
    <row r="8" spans="1:5" ht="15.75" thickBot="1" x14ac:dyDescent="0.3">
      <c r="A8" t="s">
        <v>3</v>
      </c>
      <c r="B8" s="13">
        <f>SUM(B5:B7)</f>
        <v>1</v>
      </c>
      <c r="C8" s="14">
        <f t="shared" ref="C8:E8" si="0">SUM(C5:C7)</f>
        <v>4.2</v>
      </c>
      <c r="D8" s="15">
        <f t="shared" si="0"/>
        <v>5.69</v>
      </c>
      <c r="E8" s="14">
        <f t="shared" si="0"/>
        <v>4.8499999999999996</v>
      </c>
    </row>
    <row r="9" spans="1:5" ht="15.75" thickTop="1" x14ac:dyDescent="0.25"/>
    <row r="10" spans="1:5" x14ac:dyDescent="0.25">
      <c r="A10" t="s">
        <v>37</v>
      </c>
      <c r="B10" t="s">
        <v>38</v>
      </c>
      <c r="C10" s="3">
        <f>D5+E6+C7</f>
        <v>6.2</v>
      </c>
    </row>
    <row r="11" spans="1:5" x14ac:dyDescent="0.25">
      <c r="A11" t="s">
        <v>39</v>
      </c>
      <c r="C11" s="3">
        <f>+D8</f>
        <v>5.69</v>
      </c>
    </row>
    <row r="13" spans="1:5" x14ac:dyDescent="0.25">
      <c r="A13" t="s">
        <v>40</v>
      </c>
      <c r="B13" t="s">
        <v>41</v>
      </c>
    </row>
    <row r="14" spans="1:5" x14ac:dyDescent="0.25">
      <c r="B14" t="s">
        <v>42</v>
      </c>
    </row>
    <row r="15" spans="1:5" x14ac:dyDescent="0.25">
      <c r="B15" s="2">
        <f>C10-C11</f>
        <v>0.50999999999999979</v>
      </c>
      <c r="C15" t="s">
        <v>43</v>
      </c>
    </row>
    <row r="16" spans="1:5" ht="15.75" thickBot="1" x14ac:dyDescent="0.3">
      <c r="B16" s="17">
        <f>+B15*1000000</f>
        <v>509999.99999999977</v>
      </c>
    </row>
    <row r="17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25"/>
  <sheetViews>
    <sheetView workbookViewId="0">
      <selection activeCell="C22" sqref="C22"/>
    </sheetView>
  </sheetViews>
  <sheetFormatPr defaultRowHeight="15" x14ac:dyDescent="0.25"/>
  <sheetData>
    <row r="4" spans="4:13" x14ac:dyDescent="0.25">
      <c r="L4" t="s">
        <v>35</v>
      </c>
      <c r="M4" s="13">
        <v>0.5</v>
      </c>
    </row>
    <row r="6" spans="4:13" x14ac:dyDescent="0.25">
      <c r="H6" t="s">
        <v>44</v>
      </c>
      <c r="L6" t="s">
        <v>45</v>
      </c>
      <c r="M6" s="13">
        <v>0.35</v>
      </c>
    </row>
    <row r="8" spans="4:13" x14ac:dyDescent="0.25">
      <c r="I8" s="13">
        <v>0.6</v>
      </c>
    </row>
    <row r="9" spans="4:13" x14ac:dyDescent="0.25">
      <c r="L9" t="s">
        <v>46</v>
      </c>
      <c r="M9" s="13">
        <v>0.15</v>
      </c>
    </row>
    <row r="10" spans="4:13" x14ac:dyDescent="0.25">
      <c r="D10" t="s">
        <v>47</v>
      </c>
    </row>
    <row r="12" spans="4:13" x14ac:dyDescent="0.25">
      <c r="G12" t="s">
        <v>48</v>
      </c>
      <c r="L12" t="s">
        <v>35</v>
      </c>
      <c r="M12" s="13">
        <v>0.3</v>
      </c>
    </row>
    <row r="13" spans="4:13" x14ac:dyDescent="0.25">
      <c r="H13" t="s">
        <v>49</v>
      </c>
    </row>
    <row r="14" spans="4:13" x14ac:dyDescent="0.25">
      <c r="I14" s="13">
        <v>0.4</v>
      </c>
      <c r="L14" t="s">
        <v>45</v>
      </c>
      <c r="M14" s="13">
        <v>0.35</v>
      </c>
    </row>
    <row r="17" spans="3:13" x14ac:dyDescent="0.25">
      <c r="C17" t="s">
        <v>50</v>
      </c>
      <c r="L17" t="s">
        <v>46</v>
      </c>
      <c r="M17" s="13">
        <v>0.25</v>
      </c>
    </row>
    <row r="19" spans="3:13" x14ac:dyDescent="0.25">
      <c r="D19" t="s">
        <v>51</v>
      </c>
      <c r="I19" t="s">
        <v>35</v>
      </c>
      <c r="J19" s="13">
        <v>0.15</v>
      </c>
    </row>
    <row r="21" spans="3:13" x14ac:dyDescent="0.25">
      <c r="J21" s="13">
        <v>0.4</v>
      </c>
    </row>
    <row r="22" spans="3:13" x14ac:dyDescent="0.25">
      <c r="I22" t="s">
        <v>45</v>
      </c>
    </row>
    <row r="24" spans="3:13" x14ac:dyDescent="0.25">
      <c r="J24" s="13">
        <v>0.45</v>
      </c>
    </row>
    <row r="25" spans="3:13" x14ac:dyDescent="0.25">
      <c r="I25" t="s">
        <v>46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workbookViewId="0">
      <selection activeCell="F21" sqref="F21"/>
    </sheetView>
  </sheetViews>
  <sheetFormatPr defaultRowHeight="15" x14ac:dyDescent="0.25"/>
  <cols>
    <col min="14" max="14" width="13.28515625" bestFit="1" customWidth="1"/>
    <col min="15" max="15" width="2.140625" customWidth="1"/>
    <col min="16" max="16" width="2.28515625" bestFit="1" customWidth="1"/>
    <col min="17" max="17" width="17" customWidth="1"/>
    <col min="18" max="18" width="13.5703125" customWidth="1"/>
    <col min="19" max="19" width="12.28515625" bestFit="1" customWidth="1"/>
  </cols>
  <sheetData>
    <row r="2" spans="1:19" x14ac:dyDescent="0.25">
      <c r="A2" s="1" t="s">
        <v>52</v>
      </c>
      <c r="M2">
        <v>0.2</v>
      </c>
      <c r="N2" s="18">
        <v>1200000</v>
      </c>
      <c r="P2" t="s">
        <v>53</v>
      </c>
      <c r="Q2" t="s">
        <v>54</v>
      </c>
      <c r="R2" s="2">
        <f>1200000*0.2</f>
        <v>240000</v>
      </c>
    </row>
    <row r="3" spans="1:19" x14ac:dyDescent="0.25">
      <c r="L3" t="s">
        <v>55</v>
      </c>
      <c r="N3" s="18"/>
      <c r="Q3" t="s">
        <v>56</v>
      </c>
      <c r="R3" s="2">
        <f>1000000*0.5</f>
        <v>500000</v>
      </c>
    </row>
    <row r="4" spans="1:19" x14ac:dyDescent="0.25">
      <c r="N4" s="18"/>
      <c r="Q4" t="s">
        <v>57</v>
      </c>
      <c r="R4" s="2">
        <f>800000*0.3</f>
        <v>240000</v>
      </c>
    </row>
    <row r="5" spans="1:19" ht="15.75" thickBot="1" x14ac:dyDescent="0.3">
      <c r="H5" t="s">
        <v>58</v>
      </c>
      <c r="I5" s="13">
        <v>0.75</v>
      </c>
      <c r="L5" t="s">
        <v>59</v>
      </c>
      <c r="M5">
        <v>0.5</v>
      </c>
      <c r="N5" s="18">
        <v>1000000</v>
      </c>
      <c r="R5" s="5">
        <f>SUM(R2:R4)</f>
        <v>980000</v>
      </c>
    </row>
    <row r="6" spans="1:19" ht="15.75" thickTop="1" x14ac:dyDescent="0.25">
      <c r="N6" s="18"/>
    </row>
    <row r="7" spans="1:19" x14ac:dyDescent="0.25">
      <c r="N7" s="18"/>
      <c r="P7" t="s">
        <v>60</v>
      </c>
      <c r="Q7" t="s">
        <v>61</v>
      </c>
      <c r="R7" s="2">
        <f>60000*0.6</f>
        <v>36000</v>
      </c>
    </row>
    <row r="8" spans="1:19" x14ac:dyDescent="0.25">
      <c r="L8" t="s">
        <v>62</v>
      </c>
      <c r="M8">
        <v>0.3</v>
      </c>
      <c r="N8" s="18">
        <v>800000</v>
      </c>
      <c r="Q8" t="s">
        <v>63</v>
      </c>
      <c r="R8" s="2">
        <v>0</v>
      </c>
    </row>
    <row r="9" spans="1:19" ht="15.75" thickBot="1" x14ac:dyDescent="0.3">
      <c r="N9" t="s">
        <v>64</v>
      </c>
      <c r="R9" s="5">
        <f>SUM(R7:R8)</f>
        <v>36000</v>
      </c>
    </row>
    <row r="10" spans="1:19" ht="15.75" thickTop="1" x14ac:dyDescent="0.25">
      <c r="C10" t="s">
        <v>65</v>
      </c>
    </row>
    <row r="11" spans="1:19" x14ac:dyDescent="0.25">
      <c r="C11" t="s">
        <v>66</v>
      </c>
      <c r="P11" t="s">
        <v>67</v>
      </c>
      <c r="Q11" t="s">
        <v>68</v>
      </c>
      <c r="R11" s="2">
        <f>980000*0.75</f>
        <v>735000</v>
      </c>
    </row>
    <row r="12" spans="1:19" x14ac:dyDescent="0.25">
      <c r="H12" t="s">
        <v>69</v>
      </c>
      <c r="L12" t="s">
        <v>70</v>
      </c>
      <c r="M12">
        <v>0.6</v>
      </c>
      <c r="N12" s="2">
        <v>60000</v>
      </c>
      <c r="Q12" t="s">
        <v>71</v>
      </c>
      <c r="R12" s="2">
        <f>36000*0.25</f>
        <v>9000</v>
      </c>
    </row>
    <row r="13" spans="1:19" ht="15.75" thickBot="1" x14ac:dyDescent="0.3">
      <c r="I13" s="13">
        <v>0.25</v>
      </c>
      <c r="N13" s="2"/>
      <c r="R13" s="5">
        <f>SUM(R11:R12)</f>
        <v>744000</v>
      </c>
    </row>
    <row r="14" spans="1:19" ht="15.75" thickTop="1" x14ac:dyDescent="0.25">
      <c r="N14" s="2"/>
    </row>
    <row r="15" spans="1:19" x14ac:dyDescent="0.25">
      <c r="N15" s="2"/>
      <c r="P15" t="s">
        <v>72</v>
      </c>
      <c r="Q15" t="s">
        <v>65</v>
      </c>
      <c r="R15" t="s">
        <v>73</v>
      </c>
      <c r="S15" s="2">
        <f>+R13</f>
        <v>744000</v>
      </c>
    </row>
    <row r="16" spans="1:19" x14ac:dyDescent="0.25">
      <c r="L16" t="s">
        <v>74</v>
      </c>
      <c r="M16">
        <v>0.4</v>
      </c>
      <c r="N16" s="2">
        <v>0</v>
      </c>
      <c r="R16" t="s">
        <v>75</v>
      </c>
      <c r="S16" s="2">
        <v>-600000</v>
      </c>
    </row>
    <row r="17" spans="2:19" ht="15.75" thickBot="1" x14ac:dyDescent="0.3">
      <c r="R17" t="s">
        <v>76</v>
      </c>
      <c r="S17" s="19">
        <f>SUM(S15:S16)</f>
        <v>144000</v>
      </c>
    </row>
    <row r="18" spans="2:19" ht="15.75" thickTop="1" x14ac:dyDescent="0.25">
      <c r="C18" t="s">
        <v>77</v>
      </c>
    </row>
    <row r="19" spans="2:19" x14ac:dyDescent="0.25">
      <c r="C19" t="s">
        <v>78</v>
      </c>
      <c r="Q19" t="s">
        <v>77</v>
      </c>
      <c r="R19" t="s">
        <v>73</v>
      </c>
      <c r="S19" s="2">
        <v>0</v>
      </c>
    </row>
    <row r="20" spans="2:19" x14ac:dyDescent="0.25">
      <c r="N20" s="2">
        <v>0</v>
      </c>
      <c r="R20" t="s">
        <v>75</v>
      </c>
      <c r="S20" s="2">
        <v>0</v>
      </c>
    </row>
    <row r="21" spans="2:19" ht="15.75" thickBot="1" x14ac:dyDescent="0.3">
      <c r="R21" t="s">
        <v>76</v>
      </c>
      <c r="S21" s="5">
        <f>SUM(S19:S20)</f>
        <v>0</v>
      </c>
    </row>
    <row r="22" spans="2:19" ht="15.75" thickTop="1" x14ac:dyDescent="0.25"/>
    <row r="23" spans="2:19" x14ac:dyDescent="0.25">
      <c r="B23" s="10" t="s">
        <v>79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7"/>
  <sheetViews>
    <sheetView zoomScale="84" zoomScaleNormal="84" workbookViewId="0">
      <selection activeCell="A23" sqref="A23"/>
    </sheetView>
  </sheetViews>
  <sheetFormatPr defaultRowHeight="15" x14ac:dyDescent="0.25"/>
  <cols>
    <col min="4" max="4" width="4.140625" customWidth="1"/>
    <col min="10" max="10" width="4" customWidth="1"/>
    <col min="15" max="15" width="14.28515625" bestFit="1" customWidth="1"/>
    <col min="16" max="16" width="3.140625" customWidth="1"/>
    <col min="18" max="18" width="15.85546875" customWidth="1"/>
    <col min="19" max="20" width="14" bestFit="1" customWidth="1"/>
  </cols>
  <sheetData>
    <row r="2" spans="1:20" x14ac:dyDescent="0.25">
      <c r="A2" s="1" t="s">
        <v>80</v>
      </c>
    </row>
    <row r="3" spans="1:20" x14ac:dyDescent="0.25">
      <c r="A3" s="1"/>
    </row>
    <row r="4" spans="1:20" x14ac:dyDescent="0.25">
      <c r="A4" s="1"/>
      <c r="M4" t="s">
        <v>62</v>
      </c>
      <c r="N4">
        <v>0.2</v>
      </c>
      <c r="O4" s="2">
        <v>-2000000</v>
      </c>
      <c r="Q4" t="s">
        <v>53</v>
      </c>
      <c r="R4" s="21" t="s">
        <v>81</v>
      </c>
      <c r="S4" s="2">
        <f>-2000000*0.2</f>
        <v>-400000</v>
      </c>
    </row>
    <row r="5" spans="1:20" x14ac:dyDescent="0.25">
      <c r="A5" s="1"/>
      <c r="O5" s="2"/>
      <c r="R5" t="s">
        <v>82</v>
      </c>
      <c r="S5" s="2">
        <f>2000000*0.5</f>
        <v>1000000</v>
      </c>
    </row>
    <row r="6" spans="1:20" x14ac:dyDescent="0.25">
      <c r="K6" t="s">
        <v>83</v>
      </c>
      <c r="M6" s="12" t="s">
        <v>59</v>
      </c>
      <c r="N6">
        <v>0.5</v>
      </c>
      <c r="O6" s="2">
        <v>2000000</v>
      </c>
      <c r="R6" t="s">
        <v>84</v>
      </c>
      <c r="S6" s="2">
        <f>10000000*0.3</f>
        <v>3000000</v>
      </c>
    </row>
    <row r="7" spans="1:20" ht="15.75" thickBot="1" x14ac:dyDescent="0.3">
      <c r="O7" s="2"/>
      <c r="S7" s="5">
        <f>SUM(S4:S6)</f>
        <v>3600000</v>
      </c>
    </row>
    <row r="8" spans="1:20" ht="15.75" thickTop="1" x14ac:dyDescent="0.25">
      <c r="G8" t="s">
        <v>85</v>
      </c>
      <c r="H8" s="20">
        <v>0.6</v>
      </c>
      <c r="M8" t="s">
        <v>55</v>
      </c>
      <c r="N8">
        <v>0.3</v>
      </c>
      <c r="O8" s="2">
        <v>10000000</v>
      </c>
    </row>
    <row r="9" spans="1:20" x14ac:dyDescent="0.25">
      <c r="G9" t="s">
        <v>86</v>
      </c>
      <c r="O9" s="2"/>
      <c r="Q9" t="s">
        <v>60</v>
      </c>
      <c r="R9" s="10" t="s">
        <v>83</v>
      </c>
      <c r="S9" s="24">
        <v>3600000</v>
      </c>
      <c r="T9" s="10" t="s">
        <v>83</v>
      </c>
    </row>
    <row r="10" spans="1:20" x14ac:dyDescent="0.25">
      <c r="R10" s="22" t="s">
        <v>87</v>
      </c>
      <c r="S10" s="23">
        <v>500000</v>
      </c>
    </row>
    <row r="11" spans="1:20" x14ac:dyDescent="0.25">
      <c r="K11" t="s">
        <v>87</v>
      </c>
    </row>
    <row r="12" spans="1:20" x14ac:dyDescent="0.25">
      <c r="L12" t="s">
        <v>88</v>
      </c>
      <c r="O12" s="2">
        <v>500000</v>
      </c>
    </row>
    <row r="13" spans="1:20" x14ac:dyDescent="0.25">
      <c r="C13" t="s">
        <v>83</v>
      </c>
      <c r="Q13" t="s">
        <v>67</v>
      </c>
      <c r="R13" s="22" t="s">
        <v>83</v>
      </c>
      <c r="S13" s="25">
        <v>-6000000</v>
      </c>
    </row>
    <row r="14" spans="1:20" x14ac:dyDescent="0.25">
      <c r="C14" t="s">
        <v>89</v>
      </c>
      <c r="G14" t="s">
        <v>85</v>
      </c>
      <c r="R14" s="10" t="s">
        <v>87</v>
      </c>
      <c r="S14" s="26">
        <v>500000</v>
      </c>
      <c r="T14" s="10" t="s">
        <v>87</v>
      </c>
    </row>
    <row r="15" spans="1:20" x14ac:dyDescent="0.25">
      <c r="G15" t="s">
        <v>90</v>
      </c>
      <c r="L15" t="s">
        <v>83</v>
      </c>
      <c r="O15" s="2">
        <v>-6000000</v>
      </c>
    </row>
    <row r="16" spans="1:20" x14ac:dyDescent="0.25">
      <c r="H16" s="20">
        <v>0.4</v>
      </c>
      <c r="Q16" t="s">
        <v>72</v>
      </c>
      <c r="R16" t="s">
        <v>91</v>
      </c>
      <c r="S16" s="2">
        <f>3600000*0.6</f>
        <v>2160000</v>
      </c>
    </row>
    <row r="17" spans="3:21" x14ac:dyDescent="0.25">
      <c r="R17" t="s">
        <v>92</v>
      </c>
      <c r="S17" s="2">
        <f>500000*0.4</f>
        <v>200000</v>
      </c>
    </row>
    <row r="18" spans="3:21" ht="15.75" thickBot="1" x14ac:dyDescent="0.3">
      <c r="S18" s="5">
        <f>SUM(S16:S17)</f>
        <v>2360000</v>
      </c>
    </row>
    <row r="19" spans="3:21" ht="15.75" thickTop="1" x14ac:dyDescent="0.25">
      <c r="L19" t="s">
        <v>87</v>
      </c>
      <c r="O19" s="2">
        <v>500000</v>
      </c>
    </row>
    <row r="20" spans="3:21" x14ac:dyDescent="0.25">
      <c r="Q20" t="s">
        <v>93</v>
      </c>
      <c r="R20" t="s">
        <v>83</v>
      </c>
      <c r="S20" t="s">
        <v>94</v>
      </c>
      <c r="T20" s="3">
        <f>+S18</f>
        <v>2360000</v>
      </c>
    </row>
    <row r="21" spans="3:21" x14ac:dyDescent="0.25">
      <c r="C21" t="s">
        <v>87</v>
      </c>
      <c r="S21" t="s">
        <v>95</v>
      </c>
      <c r="T21" s="2">
        <v>-1000000</v>
      </c>
    </row>
    <row r="22" spans="3:21" ht="15.75" thickBot="1" x14ac:dyDescent="0.3">
      <c r="O22" s="2">
        <v>500000</v>
      </c>
      <c r="T22" s="19">
        <f>SUM(T20:T21)</f>
        <v>1360000</v>
      </c>
      <c r="U22" s="10" t="s">
        <v>83</v>
      </c>
    </row>
    <row r="23" spans="3:21" ht="15.75" thickTop="1" x14ac:dyDescent="0.25"/>
    <row r="24" spans="3:21" x14ac:dyDescent="0.25">
      <c r="C24" s="10" t="s">
        <v>96</v>
      </c>
      <c r="R24" t="s">
        <v>87</v>
      </c>
      <c r="S24" t="s">
        <v>94</v>
      </c>
      <c r="T24" s="3">
        <f>+O22</f>
        <v>500000</v>
      </c>
    </row>
    <row r="25" spans="3:21" x14ac:dyDescent="0.25">
      <c r="S25" t="s">
        <v>95</v>
      </c>
      <c r="T25">
        <v>0</v>
      </c>
    </row>
    <row r="26" spans="3:21" ht="15.75" thickBot="1" x14ac:dyDescent="0.3">
      <c r="T26" s="5">
        <f>SUM(T24:T25)</f>
        <v>500000</v>
      </c>
    </row>
    <row r="27" spans="3:21" ht="15.75" thickTop="1" x14ac:dyDescent="0.2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E21" sqref="E21"/>
    </sheetView>
  </sheetViews>
  <sheetFormatPr defaultRowHeight="15" x14ac:dyDescent="0.25"/>
  <sheetData>
    <row r="2" spans="1:1" x14ac:dyDescent="0.25">
      <c r="A2" t="s">
        <v>97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1"/>
  <sheetViews>
    <sheetView workbookViewId="0">
      <selection activeCell="F22" sqref="F22"/>
    </sheetView>
  </sheetViews>
  <sheetFormatPr defaultRowHeight="15" x14ac:dyDescent="0.25"/>
  <cols>
    <col min="1" max="1" width="18.85546875" customWidth="1"/>
    <col min="2" max="2" width="12.7109375" customWidth="1"/>
    <col min="3" max="3" width="10.28515625" bestFit="1" customWidth="1"/>
    <col min="4" max="4" width="10" bestFit="1" customWidth="1"/>
    <col min="5" max="5" width="10.28515625" bestFit="1" customWidth="1"/>
    <col min="6" max="6" width="11.140625" customWidth="1"/>
    <col min="7" max="7" width="10.5703125" bestFit="1" customWidth="1"/>
    <col min="9" max="9" width="10.28515625" bestFit="1" customWidth="1"/>
  </cols>
  <sheetData>
    <row r="2" spans="1:8" x14ac:dyDescent="0.25">
      <c r="A2" s="1" t="s">
        <v>98</v>
      </c>
    </row>
    <row r="4" spans="1:8" x14ac:dyDescent="0.25">
      <c r="A4" s="1" t="s">
        <v>99</v>
      </c>
      <c r="C4" s="1" t="s">
        <v>100</v>
      </c>
      <c r="D4" s="1" t="s">
        <v>101</v>
      </c>
      <c r="E4" s="4" t="s">
        <v>102</v>
      </c>
    </row>
    <row r="5" spans="1:8" x14ac:dyDescent="0.25">
      <c r="A5" s="20">
        <v>0</v>
      </c>
      <c r="B5" t="s">
        <v>103</v>
      </c>
      <c r="C5" s="2">
        <v>-7000</v>
      </c>
      <c r="D5" s="35">
        <v>1</v>
      </c>
      <c r="E5" s="2">
        <f>C5*D5</f>
        <v>-7000</v>
      </c>
    </row>
    <row r="6" spans="1:8" x14ac:dyDescent="0.25">
      <c r="A6" s="34" t="s">
        <v>104</v>
      </c>
      <c r="B6" t="s">
        <v>17</v>
      </c>
      <c r="C6" s="2">
        <v>6500</v>
      </c>
      <c r="D6" s="35">
        <f>(1-(1.08^-2))/0.08</f>
        <v>1.7832647462277098</v>
      </c>
      <c r="E6" s="2">
        <f t="shared" ref="E6:E7" si="0">C6*D6</f>
        <v>11591.220850480113</v>
      </c>
      <c r="F6" s="39">
        <f>E8/E6</f>
        <v>8.8402366863905471E-2</v>
      </c>
    </row>
    <row r="7" spans="1:8" x14ac:dyDescent="0.25">
      <c r="A7" s="34" t="s">
        <v>104</v>
      </c>
      <c r="B7" t="s">
        <v>105</v>
      </c>
      <c r="C7" s="2">
        <v>-2000</v>
      </c>
      <c r="D7" s="35">
        <f>(1-(1.08^-2))/0.08</f>
        <v>1.7832647462277098</v>
      </c>
      <c r="E7" s="2">
        <f t="shared" si="0"/>
        <v>-3566.5294924554196</v>
      </c>
      <c r="F7" s="38">
        <f>E8/-E7</f>
        <v>0.28730769230769276</v>
      </c>
      <c r="G7" s="3">
        <f>SUM(E6:E7)</f>
        <v>8024.6913580246928</v>
      </c>
      <c r="H7" s="39">
        <f>E8/G7</f>
        <v>0.12769230769230791</v>
      </c>
    </row>
    <row r="8" spans="1:8" ht="15.75" thickBot="1" x14ac:dyDescent="0.3">
      <c r="D8" s="1" t="s">
        <v>106</v>
      </c>
      <c r="E8" s="36">
        <f>SUM(E5:E7)</f>
        <v>1024.6913580246933</v>
      </c>
      <c r="G8" s="39"/>
    </row>
    <row r="9" spans="1:8" ht="15.75" thickTop="1" x14ac:dyDescent="0.25"/>
    <row r="10" spans="1:8" x14ac:dyDescent="0.25">
      <c r="A10" s="1" t="s">
        <v>107</v>
      </c>
    </row>
    <row r="12" spans="1:8" x14ac:dyDescent="0.25">
      <c r="A12" s="1" t="s">
        <v>99</v>
      </c>
      <c r="C12" s="1" t="s">
        <v>100</v>
      </c>
      <c r="D12" s="1" t="s">
        <v>101</v>
      </c>
      <c r="E12" s="4" t="s">
        <v>102</v>
      </c>
    </row>
    <row r="13" spans="1:8" x14ac:dyDescent="0.25">
      <c r="A13" s="20">
        <v>0</v>
      </c>
      <c r="B13" t="s">
        <v>103</v>
      </c>
      <c r="C13" s="42">
        <f>-7000-1024.69</f>
        <v>-8024.6900000000005</v>
      </c>
      <c r="D13" s="43">
        <v>1</v>
      </c>
      <c r="E13" s="2">
        <f>C13*D13</f>
        <v>-8024.6900000000005</v>
      </c>
    </row>
    <row r="14" spans="1:8" x14ac:dyDescent="0.25">
      <c r="A14" s="34" t="s">
        <v>104</v>
      </c>
      <c r="B14" t="s">
        <v>17</v>
      </c>
      <c r="C14" s="2">
        <v>6500</v>
      </c>
      <c r="D14" s="35">
        <f>(1-(1.08^-2))/0.08</f>
        <v>1.7832647462277098</v>
      </c>
      <c r="E14" s="2">
        <f t="shared" ref="E14:E15" si="1">C14*D14</f>
        <v>11591.220850480113</v>
      </c>
    </row>
    <row r="15" spans="1:8" x14ac:dyDescent="0.25">
      <c r="A15" s="34" t="s">
        <v>104</v>
      </c>
      <c r="B15" t="s">
        <v>105</v>
      </c>
      <c r="C15" s="2">
        <v>-2000</v>
      </c>
      <c r="D15" s="35">
        <f>(1-(1.08^-2))/0.08</f>
        <v>1.7832647462277098</v>
      </c>
      <c r="E15" s="2">
        <f t="shared" si="1"/>
        <v>-3566.5294924554196</v>
      </c>
    </row>
    <row r="16" spans="1:8" ht="15.75" thickBot="1" x14ac:dyDescent="0.3">
      <c r="D16" s="1" t="s">
        <v>106</v>
      </c>
      <c r="E16" s="36">
        <f>SUM(E13:E15)</f>
        <v>1.3580246927631379E-3</v>
      </c>
      <c r="F16" s="2">
        <v>0</v>
      </c>
    </row>
    <row r="17" spans="1:7" ht="15.75" thickTop="1" x14ac:dyDescent="0.25">
      <c r="A17" t="s">
        <v>108</v>
      </c>
    </row>
    <row r="18" spans="1:7" x14ac:dyDescent="0.25">
      <c r="A18" t="s">
        <v>109</v>
      </c>
      <c r="E18" s="40">
        <f>+E8/-C5</f>
        <v>0.14638447971781332</v>
      </c>
    </row>
    <row r="20" spans="1:7" x14ac:dyDescent="0.25">
      <c r="A20" s="1" t="s">
        <v>110</v>
      </c>
    </row>
    <row r="21" spans="1:7" x14ac:dyDescent="0.25">
      <c r="B21" t="s">
        <v>111</v>
      </c>
    </row>
    <row r="23" spans="1:7" x14ac:dyDescent="0.25">
      <c r="A23" s="1" t="s">
        <v>99</v>
      </c>
      <c r="C23" s="1" t="s">
        <v>100</v>
      </c>
      <c r="D23" s="1" t="s">
        <v>101</v>
      </c>
      <c r="E23" s="4" t="s">
        <v>102</v>
      </c>
    </row>
    <row r="24" spans="1:7" x14ac:dyDescent="0.25">
      <c r="A24" s="20">
        <v>0</v>
      </c>
      <c r="B24" t="s">
        <v>103</v>
      </c>
      <c r="C24" s="2">
        <v>-7000</v>
      </c>
      <c r="D24" s="35">
        <v>1</v>
      </c>
      <c r="E24" s="2">
        <f>C24*D24</f>
        <v>-7000</v>
      </c>
      <c r="G24" s="3">
        <f>E24</f>
        <v>-7000</v>
      </c>
    </row>
    <row r="25" spans="1:7" x14ac:dyDescent="0.25">
      <c r="A25" s="34" t="s">
        <v>104</v>
      </c>
      <c r="B25" t="s">
        <v>17</v>
      </c>
      <c r="C25" s="2">
        <v>6500</v>
      </c>
      <c r="D25" s="35">
        <f>(1-(1.08^-2))/0.08</f>
        <v>1.7832647462277098</v>
      </c>
      <c r="E25" s="41">
        <f t="shared" ref="E25:E26" si="2">C25*D25</f>
        <v>11591.220850480113</v>
      </c>
    </row>
    <row r="26" spans="1:7" x14ac:dyDescent="0.25">
      <c r="A26" s="34" t="s">
        <v>104</v>
      </c>
      <c r="B26" t="s">
        <v>105</v>
      </c>
      <c r="C26" s="2">
        <v>-2000</v>
      </c>
      <c r="D26" s="35">
        <f>(1-(1.08^-2))/0.08</f>
        <v>1.7832647462277098</v>
      </c>
      <c r="E26" s="41">
        <f t="shared" si="2"/>
        <v>-3566.5294924554196</v>
      </c>
      <c r="F26" s="3">
        <f>SUM(E25:E26)</f>
        <v>8024.6913580246928</v>
      </c>
      <c r="G26" s="2">
        <v>7000</v>
      </c>
    </row>
    <row r="27" spans="1:7" ht="15.75" thickBot="1" x14ac:dyDescent="0.3">
      <c r="D27" s="1" t="s">
        <v>106</v>
      </c>
      <c r="E27" s="36">
        <f>SUM(E24:E26)</f>
        <v>1024.6913580246933</v>
      </c>
      <c r="G27" s="44">
        <v>0</v>
      </c>
    </row>
    <row r="28" spans="1:7" ht="15.75" thickTop="1" x14ac:dyDescent="0.25"/>
    <row r="29" spans="1:7" x14ac:dyDescent="0.25">
      <c r="A29" t="s">
        <v>112</v>
      </c>
    </row>
    <row r="30" spans="1:7" x14ac:dyDescent="0.25">
      <c r="A30" t="s">
        <v>113</v>
      </c>
    </row>
    <row r="31" spans="1:7" x14ac:dyDescent="0.25">
      <c r="A31" t="s">
        <v>114</v>
      </c>
    </row>
    <row r="32" spans="1:7" x14ac:dyDescent="0.25">
      <c r="A32" s="10" t="s">
        <v>115</v>
      </c>
    </row>
    <row r="33" spans="1:11" x14ac:dyDescent="0.25">
      <c r="A33" t="s">
        <v>116</v>
      </c>
    </row>
    <row r="34" spans="1:11" x14ac:dyDescent="0.25">
      <c r="A34" t="s">
        <v>117</v>
      </c>
    </row>
    <row r="35" spans="1:11" x14ac:dyDescent="0.25">
      <c r="A35" s="10" t="s">
        <v>118</v>
      </c>
    </row>
    <row r="36" spans="1:11" x14ac:dyDescent="0.25">
      <c r="A36" t="s">
        <v>119</v>
      </c>
    </row>
    <row r="37" spans="1:11" ht="15.75" thickBot="1" x14ac:dyDescent="0.3">
      <c r="A37" t="s">
        <v>120</v>
      </c>
      <c r="E37" s="46">
        <v>0.12759999999999999</v>
      </c>
    </row>
    <row r="38" spans="1:11" ht="15.75" thickTop="1" x14ac:dyDescent="0.25"/>
    <row r="39" spans="1:11" x14ac:dyDescent="0.25">
      <c r="A39" s="1" t="s">
        <v>121</v>
      </c>
    </row>
    <row r="41" spans="1:11" x14ac:dyDescent="0.25">
      <c r="A41" s="1" t="s">
        <v>99</v>
      </c>
      <c r="C41" s="1" t="s">
        <v>100</v>
      </c>
      <c r="D41" s="1" t="s">
        <v>101</v>
      </c>
      <c r="E41" s="4" t="s">
        <v>102</v>
      </c>
    </row>
    <row r="42" spans="1:11" x14ac:dyDescent="0.25">
      <c r="A42" s="20">
        <v>0</v>
      </c>
      <c r="B42" t="s">
        <v>103</v>
      </c>
      <c r="C42" s="2">
        <v>-7000</v>
      </c>
      <c r="D42" s="35">
        <v>1</v>
      </c>
      <c r="E42" s="2">
        <f>C42*D42</f>
        <v>-7000</v>
      </c>
      <c r="G42" s="3">
        <f>E42</f>
        <v>-7000</v>
      </c>
    </row>
    <row r="43" spans="1:11" x14ac:dyDescent="0.25">
      <c r="A43" s="34" t="s">
        <v>104</v>
      </c>
      <c r="B43" t="s">
        <v>17</v>
      </c>
      <c r="C43" s="2">
        <v>6500</v>
      </c>
      <c r="D43" s="35">
        <f>(1-(1.08^-2))/0.08</f>
        <v>1.7832647462277098</v>
      </c>
      <c r="E43" s="41">
        <f t="shared" ref="E43:E44" si="3">C43*D43</f>
        <v>11591.220850480113</v>
      </c>
      <c r="G43" s="41">
        <v>10566.53</v>
      </c>
      <c r="I43" s="3">
        <f>G43/D43</f>
        <v>5925.3848999999982</v>
      </c>
      <c r="J43" s="3">
        <f>C43-I43</f>
        <v>574.6151000000018</v>
      </c>
      <c r="K43" s="2">
        <f>+J43/650000*1000000</f>
        <v>884.02323076923358</v>
      </c>
    </row>
    <row r="44" spans="1:11" x14ac:dyDescent="0.25">
      <c r="A44" s="34" t="s">
        <v>104</v>
      </c>
      <c r="B44" t="s">
        <v>105</v>
      </c>
      <c r="C44" s="2">
        <v>-2000</v>
      </c>
      <c r="D44" s="35">
        <f>(1-(1.08^-2))/0.08</f>
        <v>1.7832647462277098</v>
      </c>
      <c r="E44" s="47">
        <f t="shared" si="3"/>
        <v>-3566.5294924554196</v>
      </c>
      <c r="F44" s="3">
        <f>SUM(E43:E44)</f>
        <v>8024.6913580246928</v>
      </c>
      <c r="G44" s="2">
        <f>+E44</f>
        <v>-3566.5294924554196</v>
      </c>
    </row>
    <row r="45" spans="1:11" ht="15.75" thickBot="1" x14ac:dyDescent="0.3">
      <c r="D45" s="1" t="s">
        <v>106</v>
      </c>
      <c r="E45" s="36">
        <f>SUM(E42:E44)</f>
        <v>1024.6913580246933</v>
      </c>
      <c r="G45" s="44">
        <v>0</v>
      </c>
    </row>
    <row r="46" spans="1:11" ht="15.75" thickTop="1" x14ac:dyDescent="0.25"/>
    <row r="47" spans="1:11" x14ac:dyDescent="0.25">
      <c r="A47" t="s">
        <v>122</v>
      </c>
    </row>
    <row r="48" spans="1:11" x14ac:dyDescent="0.25">
      <c r="A48" t="s">
        <v>123</v>
      </c>
    </row>
    <row r="49" spans="1:11" x14ac:dyDescent="0.25">
      <c r="A49" t="s">
        <v>124</v>
      </c>
      <c r="I49" s="39"/>
    </row>
    <row r="50" spans="1:11" x14ac:dyDescent="0.25">
      <c r="A50" t="s">
        <v>125</v>
      </c>
    </row>
    <row r="51" spans="1:11" ht="15.75" thickBot="1" x14ac:dyDescent="0.3">
      <c r="A51" t="s">
        <v>126</v>
      </c>
      <c r="E51" s="48">
        <v>8.8400000000000006E-2</v>
      </c>
    </row>
    <row r="52" spans="1:11" ht="15.75" thickTop="1" x14ac:dyDescent="0.25"/>
    <row r="53" spans="1:11" x14ac:dyDescent="0.25">
      <c r="A53" s="1" t="s">
        <v>127</v>
      </c>
    </row>
    <row r="54" spans="1:11" x14ac:dyDescent="0.25">
      <c r="A54" s="1" t="s">
        <v>99</v>
      </c>
      <c r="C54" s="1" t="s">
        <v>100</v>
      </c>
      <c r="D54" s="1" t="s">
        <v>101</v>
      </c>
      <c r="E54" s="4" t="s">
        <v>102</v>
      </c>
      <c r="G54" s="4" t="s">
        <v>102</v>
      </c>
    </row>
    <row r="55" spans="1:11" x14ac:dyDescent="0.25">
      <c r="A55" s="20">
        <v>0</v>
      </c>
      <c r="B55" t="s">
        <v>103</v>
      </c>
      <c r="C55" s="2">
        <v>-7000</v>
      </c>
      <c r="D55" s="35">
        <v>1</v>
      </c>
      <c r="E55" s="2">
        <f>C55*D55</f>
        <v>-7000</v>
      </c>
      <c r="G55" s="3">
        <f>+E55</f>
        <v>-7000</v>
      </c>
    </row>
    <row r="56" spans="1:11" x14ac:dyDescent="0.25">
      <c r="A56" s="34" t="s">
        <v>104</v>
      </c>
      <c r="B56" t="s">
        <v>17</v>
      </c>
      <c r="C56" s="2">
        <v>6500</v>
      </c>
      <c r="D56" s="35">
        <f>(1-(1.08^-2))/0.08</f>
        <v>1.7832647462277098</v>
      </c>
      <c r="E56" s="47">
        <f t="shared" ref="E56:E57" si="4">C56*D56</f>
        <v>11591.220850480113</v>
      </c>
      <c r="G56" s="47">
        <f>+E56</f>
        <v>11591.220850480113</v>
      </c>
    </row>
    <row r="57" spans="1:11" x14ac:dyDescent="0.25">
      <c r="A57" s="34" t="s">
        <v>104</v>
      </c>
      <c r="B57" t="s">
        <v>105</v>
      </c>
      <c r="C57" s="2">
        <v>-2000</v>
      </c>
      <c r="D57" s="35">
        <f>(1-(1.08^-2))/0.08</f>
        <v>1.7832647462277098</v>
      </c>
      <c r="E57" s="47">
        <f t="shared" si="4"/>
        <v>-3566.5294924554196</v>
      </c>
      <c r="F57" s="3"/>
      <c r="G57" s="41">
        <v>-4591.22</v>
      </c>
      <c r="I57" s="3">
        <f>+G57/D57</f>
        <v>-2574.614907692307</v>
      </c>
      <c r="J57" s="3">
        <f>+I57-C57</f>
        <v>-574.61490769230704</v>
      </c>
      <c r="K57" s="3">
        <f>J57*1000000/650000</f>
        <v>-884.02293491124158</v>
      </c>
    </row>
    <row r="58" spans="1:11" ht="15.75" thickBot="1" x14ac:dyDescent="0.3">
      <c r="D58" s="1" t="s">
        <v>106</v>
      </c>
      <c r="E58" s="36">
        <f>SUM(E55:E57)</f>
        <v>1024.6913580246933</v>
      </c>
      <c r="G58" s="44">
        <v>0</v>
      </c>
    </row>
    <row r="59" spans="1:11" ht="15.75" thickTop="1" x14ac:dyDescent="0.25">
      <c r="D59" s="1"/>
      <c r="E59" s="49"/>
    </row>
    <row r="60" spans="1:11" x14ac:dyDescent="0.25">
      <c r="A60" t="s">
        <v>128</v>
      </c>
    </row>
    <row r="61" spans="1:11" x14ac:dyDescent="0.25">
      <c r="A61" t="s">
        <v>129</v>
      </c>
    </row>
    <row r="62" spans="1:11" x14ac:dyDescent="0.25">
      <c r="A62" t="s">
        <v>130</v>
      </c>
    </row>
    <row r="63" spans="1:11" x14ac:dyDescent="0.25">
      <c r="A63" t="s">
        <v>131</v>
      </c>
    </row>
    <row r="64" spans="1:11" x14ac:dyDescent="0.25">
      <c r="A64" t="s">
        <v>116</v>
      </c>
      <c r="K64" s="37"/>
    </row>
    <row r="65" spans="1:10" x14ac:dyDescent="0.25">
      <c r="A65" t="s">
        <v>132</v>
      </c>
      <c r="E65" s="51">
        <v>0.2873</v>
      </c>
    </row>
    <row r="67" spans="1:10" x14ac:dyDescent="0.25">
      <c r="A67" s="1" t="s">
        <v>133</v>
      </c>
    </row>
    <row r="68" spans="1:10" x14ac:dyDescent="0.25">
      <c r="A68" s="1" t="s">
        <v>99</v>
      </c>
      <c r="C68" s="1" t="s">
        <v>100</v>
      </c>
      <c r="D68" s="1" t="s">
        <v>101</v>
      </c>
      <c r="E68" s="4" t="s">
        <v>102</v>
      </c>
      <c r="F68" s="1" t="s">
        <v>134</v>
      </c>
      <c r="G68" s="4" t="s">
        <v>102</v>
      </c>
    </row>
    <row r="69" spans="1:10" x14ac:dyDescent="0.25">
      <c r="A69" s="20">
        <v>0</v>
      </c>
      <c r="B69" t="s">
        <v>103</v>
      </c>
      <c r="C69" s="2">
        <v>-7000</v>
      </c>
      <c r="D69" s="35">
        <v>1</v>
      </c>
      <c r="E69" s="2">
        <f>C69*D69</f>
        <v>-7000</v>
      </c>
      <c r="F69" s="52">
        <v>1</v>
      </c>
      <c r="G69" s="2">
        <f>C69*F69</f>
        <v>-7000</v>
      </c>
    </row>
    <row r="70" spans="1:10" x14ac:dyDescent="0.25">
      <c r="A70" s="34" t="s">
        <v>104</v>
      </c>
      <c r="B70" t="s">
        <v>17</v>
      </c>
      <c r="C70" s="2">
        <v>6500</v>
      </c>
      <c r="D70" s="35">
        <f>(1-(1.08^-2))/0.08</f>
        <v>1.7832647462277098</v>
      </c>
      <c r="E70" s="47">
        <f t="shared" ref="E70:E71" si="5">C70*D70</f>
        <v>11591.220850480113</v>
      </c>
      <c r="F70" s="35">
        <f>(1-(1.2^-2))/0.2</f>
        <v>1.5277777777777779</v>
      </c>
      <c r="G70" s="2">
        <f t="shared" ref="G70:G71" si="6">C70*F70</f>
        <v>9930.5555555555566</v>
      </c>
    </row>
    <row r="71" spans="1:10" x14ac:dyDescent="0.25">
      <c r="A71" s="34" t="s">
        <v>104</v>
      </c>
      <c r="B71" t="s">
        <v>105</v>
      </c>
      <c r="C71" s="2">
        <v>-2000</v>
      </c>
      <c r="D71" s="35">
        <f>(1-(1.08^-2))/0.08</f>
        <v>1.7832647462277098</v>
      </c>
      <c r="E71" s="47">
        <f t="shared" si="5"/>
        <v>-3566.5294924554196</v>
      </c>
      <c r="F71" s="35">
        <f>(1-(1.2^-2))/0.2</f>
        <v>1.5277777777777779</v>
      </c>
      <c r="G71" s="2">
        <f t="shared" si="6"/>
        <v>-3055.5555555555557</v>
      </c>
    </row>
    <row r="72" spans="1:10" ht="15.75" thickBot="1" x14ac:dyDescent="0.3">
      <c r="D72" s="1" t="s">
        <v>106</v>
      </c>
      <c r="E72" s="36">
        <f>SUM(E69:E71)</f>
        <v>1024.6913580246933</v>
      </c>
      <c r="F72" s="1" t="s">
        <v>106</v>
      </c>
      <c r="G72" s="5">
        <f>SUM(G69:G71)</f>
        <v>-124.99999999999909</v>
      </c>
    </row>
    <row r="73" spans="1:10" ht="15.75" thickTop="1" x14ac:dyDescent="0.25"/>
    <row r="75" spans="1:10" x14ac:dyDescent="0.25">
      <c r="A75" t="s">
        <v>135</v>
      </c>
      <c r="B75" s="21" t="s">
        <v>136</v>
      </c>
      <c r="C75" s="67" t="s">
        <v>53</v>
      </c>
      <c r="D75" s="68" t="s">
        <v>137</v>
      </c>
      <c r="E75" s="69" t="s">
        <v>138</v>
      </c>
      <c r="F75" s="69"/>
      <c r="G75" s="69"/>
      <c r="H75" s="67" t="s">
        <v>139</v>
      </c>
      <c r="I75" s="67" t="s">
        <v>140</v>
      </c>
      <c r="J75" s="12" t="s">
        <v>141</v>
      </c>
    </row>
    <row r="76" spans="1:10" x14ac:dyDescent="0.25">
      <c r="C76" s="67"/>
      <c r="D76" s="68"/>
      <c r="E76" s="12" t="s">
        <v>142</v>
      </c>
      <c r="F76" s="53" t="s">
        <v>143</v>
      </c>
      <c r="G76" t="s">
        <v>144</v>
      </c>
      <c r="H76" s="67"/>
      <c r="I76" s="67"/>
    </row>
    <row r="79" spans="1:10" x14ac:dyDescent="0.25">
      <c r="C79" s="66">
        <v>0.08</v>
      </c>
      <c r="D79" s="68" t="s">
        <v>137</v>
      </c>
      <c r="E79" s="70">
        <f>+E72</f>
        <v>1024.6913580246933</v>
      </c>
      <c r="F79" s="69"/>
      <c r="G79" s="69"/>
      <c r="H79" s="67" t="s">
        <v>139</v>
      </c>
      <c r="I79" s="67" t="s">
        <v>145</v>
      </c>
      <c r="J79" s="12" t="s">
        <v>141</v>
      </c>
    </row>
    <row r="80" spans="1:10" x14ac:dyDescent="0.25">
      <c r="C80" s="67"/>
      <c r="D80" s="68"/>
      <c r="E80" s="3">
        <f>+E72</f>
        <v>1024.6913580246933</v>
      </c>
      <c r="F80" s="53" t="s">
        <v>143</v>
      </c>
      <c r="G80" s="54">
        <f>G72</f>
        <v>-124.99999999999909</v>
      </c>
      <c r="H80" s="67"/>
      <c r="I80" s="67"/>
    </row>
    <row r="83" spans="1:8" x14ac:dyDescent="0.25">
      <c r="C83" s="66">
        <v>0.08</v>
      </c>
      <c r="D83" s="68" t="s">
        <v>137</v>
      </c>
      <c r="E83" s="55">
        <f>+E79</f>
        <v>1024.6913580246933</v>
      </c>
      <c r="F83" s="67" t="s">
        <v>139</v>
      </c>
      <c r="G83" s="66">
        <v>0.12</v>
      </c>
      <c r="H83" s="12" t="s">
        <v>141</v>
      </c>
    </row>
    <row r="84" spans="1:8" x14ac:dyDescent="0.25">
      <c r="C84" s="67"/>
      <c r="D84" s="68"/>
      <c r="E84" s="2">
        <f>+E80+125</f>
        <v>1149.6913580246933</v>
      </c>
      <c r="F84" s="67"/>
      <c r="G84" s="67"/>
    </row>
    <row r="87" spans="1:8" x14ac:dyDescent="0.25">
      <c r="C87">
        <v>0.08</v>
      </c>
      <c r="D87" s="56" t="s">
        <v>137</v>
      </c>
      <c r="E87" s="3">
        <f>+E83/E84</f>
        <v>0.89127516778523508</v>
      </c>
      <c r="F87" t="s">
        <v>139</v>
      </c>
      <c r="G87">
        <v>0.12</v>
      </c>
      <c r="H87" s="12" t="s">
        <v>141</v>
      </c>
    </row>
    <row r="89" spans="1:8" x14ac:dyDescent="0.25">
      <c r="C89">
        <v>0.08</v>
      </c>
      <c r="D89" s="56" t="s">
        <v>137</v>
      </c>
      <c r="E89" s="57">
        <f>+E87*G87</f>
        <v>0.10695302013422821</v>
      </c>
      <c r="F89" s="12" t="s">
        <v>141</v>
      </c>
    </row>
    <row r="91" spans="1:8" ht="15.75" thickBot="1" x14ac:dyDescent="0.3">
      <c r="D91" s="58">
        <f>C89+E89</f>
        <v>0.18695302013422821</v>
      </c>
    </row>
    <row r="92" spans="1:8" ht="15.75" thickTop="1" x14ac:dyDescent="0.25"/>
    <row r="93" spans="1:8" x14ac:dyDescent="0.25">
      <c r="A93" t="s">
        <v>146</v>
      </c>
      <c r="E93" s="59">
        <v>1.3374999999999999</v>
      </c>
    </row>
    <row r="96" spans="1:8" x14ac:dyDescent="0.25">
      <c r="A96" s="60" t="s">
        <v>147</v>
      </c>
      <c r="C96" s="1" t="s">
        <v>148</v>
      </c>
    </row>
    <row r="97" spans="1:4" x14ac:dyDescent="0.25">
      <c r="A97" t="s">
        <v>149</v>
      </c>
      <c r="B97" s="45">
        <f>E18</f>
        <v>0.14638447971781332</v>
      </c>
      <c r="C97" s="11">
        <v>3</v>
      </c>
    </row>
    <row r="98" spans="1:4" x14ac:dyDescent="0.25">
      <c r="A98" t="s">
        <v>150</v>
      </c>
      <c r="B98" s="45">
        <f>+E37</f>
        <v>0.12759999999999999</v>
      </c>
      <c r="C98" s="11">
        <v>2</v>
      </c>
    </row>
    <row r="99" spans="1:4" x14ac:dyDescent="0.25">
      <c r="A99" t="s">
        <v>151</v>
      </c>
      <c r="B99" s="45">
        <f>+E51</f>
        <v>8.8400000000000006E-2</v>
      </c>
      <c r="C99" s="11">
        <v>1</v>
      </c>
      <c r="D99" s="1" t="s">
        <v>152</v>
      </c>
    </row>
    <row r="100" spans="1:4" x14ac:dyDescent="0.25">
      <c r="A100" t="s">
        <v>105</v>
      </c>
      <c r="B100" s="45">
        <f>+E65</f>
        <v>0.2873</v>
      </c>
      <c r="C100" s="11">
        <v>4</v>
      </c>
    </row>
    <row r="101" spans="1:4" x14ac:dyDescent="0.25">
      <c r="A101" t="s">
        <v>135</v>
      </c>
      <c r="B101" s="45">
        <f>+E93</f>
        <v>1.3374999999999999</v>
      </c>
      <c r="C101" s="11">
        <v>6</v>
      </c>
    </row>
  </sheetData>
  <mergeCells count="14">
    <mergeCell ref="H75:H76"/>
    <mergeCell ref="I75:I76"/>
    <mergeCell ref="C79:C80"/>
    <mergeCell ref="D79:D80"/>
    <mergeCell ref="E79:G79"/>
    <mergeCell ref="H79:H80"/>
    <mergeCell ref="I79:I80"/>
    <mergeCell ref="C83:C84"/>
    <mergeCell ref="D83:D84"/>
    <mergeCell ref="F83:F84"/>
    <mergeCell ref="G83:G84"/>
    <mergeCell ref="C75:C76"/>
    <mergeCell ref="D75:D76"/>
    <mergeCell ref="E75:G7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8" ma:contentTypeDescription="Create a new document." ma:contentTypeScope="" ma:versionID="ee78e4b72632758de8621c71d7cecb3a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e13ea50a332677d6ea91e655bc6929c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E34C35-8EF7-462A-90B3-29A06AA320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F4FC78-C0C4-4518-A4CD-572C106D4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AF11A7-BD77-46A9-B6A4-FDF033C506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E1</vt:lpstr>
      <vt:lpstr>E2</vt:lpstr>
      <vt:lpstr>E3</vt:lpstr>
      <vt:lpstr>E4</vt:lpstr>
      <vt:lpstr>DT</vt:lpstr>
      <vt:lpstr>E6</vt:lpstr>
      <vt:lpstr>E7</vt:lpstr>
      <vt:lpstr>E8</vt:lpstr>
      <vt:lpstr>E9</vt:lpstr>
      <vt:lpstr>E10</vt:lpstr>
      <vt:lpstr>Q1</vt:lpstr>
      <vt:lpstr>Q2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Sunanda Abeykoon</dc:creator>
  <cp:keywords/>
  <dc:description/>
  <cp:lastModifiedBy>vLearning1</cp:lastModifiedBy>
  <cp:revision/>
  <dcterms:created xsi:type="dcterms:W3CDTF">2015-06-05T18:17:20Z</dcterms:created>
  <dcterms:modified xsi:type="dcterms:W3CDTF">2022-07-18T07:40:24Z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