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40" tabRatio="786"/>
  </bookViews>
  <sheets>
    <sheet name="Sheet1" sheetId="1" r:id="rId1"/>
    <sheet name="E1" sheetId="3" r:id="rId2"/>
    <sheet name="E2" sheetId="4" r:id="rId3"/>
    <sheet name="E3" sheetId="5" r:id="rId4"/>
    <sheet name="E4" sheetId="6" r:id="rId5"/>
    <sheet name="E5" sheetId="7" r:id="rId6"/>
    <sheet name="E7" sheetId="8" r:id="rId7"/>
    <sheet name="E8" sheetId="9" r:id="rId8"/>
    <sheet name="E9" sheetId="10" r:id="rId9"/>
    <sheet name="E10" sheetId="11" r:id="rId10"/>
    <sheet name="E11" sheetId="12" r:id="rId11"/>
    <sheet name="E15" sheetId="13" r:id="rId12"/>
    <sheet name="E20" sheetId="14" r:id="rId13"/>
    <sheet name="Q1" sheetId="15" r:id="rId14"/>
    <sheet name="Q2" sheetId="16" r:id="rId15"/>
    <sheet name="Q3" sheetId="17" r:id="rId1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0" l="1"/>
  <c r="D19" i="8"/>
  <c r="H5" i="8"/>
  <c r="F36" i="17"/>
  <c r="F33" i="17"/>
  <c r="G24" i="17"/>
  <c r="G15" i="17"/>
  <c r="C23" i="17"/>
  <c r="D23" i="17" s="1"/>
  <c r="E23" i="17" s="1"/>
  <c r="C14" i="17"/>
  <c r="D14" i="17" s="1"/>
  <c r="E14" i="17" s="1"/>
  <c r="F14" i="17" s="1"/>
  <c r="C22" i="17"/>
  <c r="D22" i="17" s="1"/>
  <c r="E22" i="17" s="1"/>
  <c r="F22" i="17" s="1"/>
  <c r="C13" i="17"/>
  <c r="D13" i="17" s="1"/>
  <c r="E13" i="17" s="1"/>
  <c r="F13" i="17" s="1"/>
  <c r="D12" i="17"/>
  <c r="E12" i="17" s="1"/>
  <c r="F12" i="17" s="1"/>
  <c r="C21" i="17"/>
  <c r="D21" i="17" s="1"/>
  <c r="E21" i="17" s="1"/>
  <c r="F21" i="17" s="1"/>
  <c r="C11" i="17"/>
  <c r="D11" i="17" s="1"/>
  <c r="E11" i="17" s="1"/>
  <c r="F11" i="17" s="1"/>
  <c r="C20" i="17"/>
  <c r="D20" i="17" s="1"/>
  <c r="E20" i="17" s="1"/>
  <c r="F20" i="17" s="1"/>
  <c r="C10" i="17"/>
  <c r="D10" i="17" s="1"/>
  <c r="D19" i="17"/>
  <c r="E19" i="17" s="1"/>
  <c r="F19" i="17" s="1"/>
  <c r="E7" i="17"/>
  <c r="I7" i="17" s="1"/>
  <c r="F7" i="17"/>
  <c r="C7" i="17"/>
  <c r="G27" i="17"/>
  <c r="G7" i="17" s="1"/>
  <c r="I28" i="17"/>
  <c r="F27" i="17"/>
  <c r="E27" i="17"/>
  <c r="D27" i="17"/>
  <c r="D7" i="17" s="1"/>
  <c r="C27" i="17"/>
  <c r="F4" i="17"/>
  <c r="E10" i="17" l="1"/>
  <c r="D15" i="17"/>
  <c r="D16" i="17" s="1"/>
  <c r="G16" i="17"/>
  <c r="G25" i="17" s="1"/>
  <c r="D40" i="17" s="1"/>
  <c r="J7" i="17"/>
  <c r="C24" i="17"/>
  <c r="C15" i="17"/>
  <c r="C16" i="17" s="1"/>
  <c r="C25" i="17" s="1"/>
  <c r="F23" i="17"/>
  <c r="F24" i="17" s="1"/>
  <c r="E24" i="17"/>
  <c r="D24" i="17"/>
  <c r="D59" i="16"/>
  <c r="D56" i="16"/>
  <c r="C60" i="16"/>
  <c r="B58" i="16"/>
  <c r="D58" i="16" s="1"/>
  <c r="B56" i="16"/>
  <c r="D48" i="16"/>
  <c r="B43" i="16"/>
  <c r="E35" i="16"/>
  <c r="E36" i="16" s="1"/>
  <c r="I31" i="16"/>
  <c r="I30" i="16"/>
  <c r="D31" i="16"/>
  <c r="D30" i="16"/>
  <c r="E22" i="16"/>
  <c r="E14" i="16"/>
  <c r="E15" i="16" s="1"/>
  <c r="E17" i="16" s="1"/>
  <c r="F7" i="15"/>
  <c r="C13" i="15" s="1"/>
  <c r="C7" i="15"/>
  <c r="C6" i="15"/>
  <c r="F6" i="15" s="1"/>
  <c r="C12" i="15" s="1"/>
  <c r="C5" i="15"/>
  <c r="F5" i="15" s="1"/>
  <c r="C11" i="15" s="1"/>
  <c r="F36" i="14"/>
  <c r="D36" i="14"/>
  <c r="H32" i="14"/>
  <c r="H8" i="14" s="1"/>
  <c r="D32" i="14"/>
  <c r="C19" i="14"/>
  <c r="C20" i="14" s="1"/>
  <c r="C16" i="14"/>
  <c r="C17" i="14" s="1"/>
  <c r="N10" i="13"/>
  <c r="N11" i="13" s="1"/>
  <c r="N6" i="13"/>
  <c r="J6" i="13"/>
  <c r="J7" i="13" s="1"/>
  <c r="N8" i="13" s="1"/>
  <c r="E6" i="13"/>
  <c r="C6" i="13"/>
  <c r="C22" i="14" l="1"/>
  <c r="C26" i="14" s="1"/>
  <c r="C25" i="14"/>
  <c r="C27" i="14" s="1"/>
  <c r="C7" i="14" s="1"/>
  <c r="E25" i="16"/>
  <c r="E23" i="16"/>
  <c r="F10" i="17"/>
  <c r="F15" i="17" s="1"/>
  <c r="E15" i="17"/>
  <c r="E16" i="17" s="1"/>
  <c r="E25" i="17" s="1"/>
  <c r="D33" i="17" s="1"/>
  <c r="D25" i="17"/>
  <c r="J24" i="17"/>
  <c r="C14" i="15"/>
  <c r="E15" i="12"/>
  <c r="D10" i="12"/>
  <c r="D9" i="12"/>
  <c r="D8" i="12"/>
  <c r="D6" i="12"/>
  <c r="D11" i="12" s="1"/>
  <c r="E11" i="12"/>
  <c r="B15" i="12"/>
  <c r="B11" i="12"/>
  <c r="D8" i="11"/>
  <c r="D7" i="11"/>
  <c r="F7" i="11" s="1"/>
  <c r="E9" i="11"/>
  <c r="E11" i="11" s="1"/>
  <c r="E8" i="11"/>
  <c r="E7" i="11"/>
  <c r="B8" i="11"/>
  <c r="B7" i="11"/>
  <c r="B9" i="11" s="1"/>
  <c r="B11" i="11" s="1"/>
  <c r="C10" i="10"/>
  <c r="C7" i="10"/>
  <c r="D34" i="10"/>
  <c r="D35" i="10" s="1"/>
  <c r="D37" i="10" s="1"/>
  <c r="D39" i="10" s="1"/>
  <c r="C5" i="10" s="1"/>
  <c r="C6" i="10" s="1"/>
  <c r="C34" i="10"/>
  <c r="C33" i="10"/>
  <c r="D33" i="10" s="1"/>
  <c r="D30" i="10"/>
  <c r="C21" i="10"/>
  <c r="C20" i="10"/>
  <c r="C22" i="10" s="1"/>
  <c r="C4" i="10" s="1"/>
  <c r="C19" i="10"/>
  <c r="D7" i="9"/>
  <c r="E11" i="9"/>
  <c r="D10" i="9"/>
  <c r="D9" i="9"/>
  <c r="D6" i="9"/>
  <c r="D11" i="9" s="1"/>
  <c r="D5" i="9"/>
  <c r="F5" i="9" s="1"/>
  <c r="D13" i="8"/>
  <c r="C13" i="8"/>
  <c r="B13" i="8"/>
  <c r="C5" i="8"/>
  <c r="E5" i="8" s="1"/>
  <c r="C6" i="8"/>
  <c r="E6" i="8" s="1"/>
  <c r="C7" i="8"/>
  <c r="E7" i="8" s="1"/>
  <c r="C4" i="8"/>
  <c r="E4" i="8" s="1"/>
  <c r="C13" i="7"/>
  <c r="D13" i="7" s="1"/>
  <c r="E8" i="7"/>
  <c r="F8" i="7" s="1"/>
  <c r="G8" i="7" s="1"/>
  <c r="H8" i="7" s="1"/>
  <c r="I8" i="7" s="1"/>
  <c r="J8" i="7" s="1"/>
  <c r="K8" i="7" s="1"/>
  <c r="L8" i="7" s="1"/>
  <c r="M8" i="7" s="1"/>
  <c r="N8" i="7" s="1"/>
  <c r="O8" i="7" s="1"/>
  <c r="P8" i="7" s="1"/>
  <c r="D6" i="7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C33" i="6"/>
  <c r="D34" i="6" s="1"/>
  <c r="C32" i="6"/>
  <c r="D28" i="6"/>
  <c r="D24" i="6"/>
  <c r="D22" i="6"/>
  <c r="C22" i="6"/>
  <c r="C21" i="6"/>
  <c r="C20" i="6"/>
  <c r="C17" i="6"/>
  <c r="C16" i="6"/>
  <c r="C15" i="6"/>
  <c r="D17" i="6" s="1"/>
  <c r="D26" i="6" s="1"/>
  <c r="D30" i="6" s="1"/>
  <c r="D36" i="6" s="1"/>
  <c r="H5" i="6"/>
  <c r="D15" i="12" l="1"/>
  <c r="F15" i="12" s="1"/>
  <c r="F11" i="12"/>
  <c r="B11" i="8"/>
  <c r="C11" i="8"/>
  <c r="D11" i="8"/>
  <c r="D15" i="8"/>
  <c r="C15" i="8"/>
  <c r="B15" i="8"/>
  <c r="D17" i="8"/>
  <c r="B17" i="8"/>
  <c r="C17" i="8"/>
  <c r="E13" i="7"/>
  <c r="F13" i="7" s="1"/>
  <c r="G13" i="7"/>
  <c r="C8" i="10"/>
  <c r="C12" i="10" s="1"/>
  <c r="F6" i="12"/>
  <c r="D45" i="16"/>
  <c r="E34" i="16"/>
  <c r="E37" i="16" s="1"/>
  <c r="D46" i="16" s="1"/>
  <c r="C8" i="14"/>
  <c r="E8" i="14" s="1"/>
  <c r="E7" i="14"/>
  <c r="B36" i="14"/>
  <c r="H36" i="14" s="1"/>
  <c r="H9" i="14" s="1"/>
  <c r="H10" i="14" s="1"/>
  <c r="D9" i="11"/>
  <c r="D11" i="11" s="1"/>
  <c r="F16" i="17"/>
  <c r="F25" i="17" s="1"/>
  <c r="D36" i="17" s="1"/>
  <c r="J15" i="17"/>
  <c r="I15" i="17"/>
  <c r="C6" i="5"/>
  <c r="C7" i="5" s="1"/>
  <c r="C8" i="5" s="1"/>
  <c r="C11" i="5" s="1"/>
  <c r="C12" i="5" s="1"/>
  <c r="E9" i="4"/>
  <c r="E15" i="4" s="1"/>
  <c r="E8" i="4"/>
  <c r="C13" i="4"/>
  <c r="C12" i="4"/>
  <c r="C11" i="4"/>
  <c r="C10" i="4"/>
  <c r="C9" i="4"/>
  <c r="C8" i="4"/>
  <c r="C15" i="4" s="1"/>
  <c r="E13" i="3"/>
  <c r="E17" i="3" s="1"/>
  <c r="E19" i="3" s="1"/>
  <c r="E4" i="3"/>
  <c r="E8" i="3" s="1"/>
  <c r="E10" i="3" s="1"/>
  <c r="E37" i="1"/>
  <c r="D15" i="1"/>
  <c r="D21" i="8" l="1"/>
  <c r="D25" i="8" s="1"/>
  <c r="D26" i="8" s="1"/>
  <c r="C19" i="8"/>
  <c r="C21" i="8" s="1"/>
  <c r="C25" i="8" s="1"/>
  <c r="C26" i="8" s="1"/>
  <c r="B19" i="8"/>
  <c r="B21" i="8" s="1"/>
  <c r="B25" i="8" s="1"/>
  <c r="B26" i="8" s="1"/>
  <c r="D47" i="16"/>
  <c r="B57" i="16" l="1"/>
  <c r="D49" i="16"/>
  <c r="D50" i="16" s="1"/>
  <c r="D57" i="16" l="1"/>
  <c r="B60" i="16"/>
  <c r="D60" i="16" s="1"/>
</calcChain>
</file>

<file path=xl/sharedStrings.xml><?xml version="1.0" encoding="utf-8"?>
<sst xmlns="http://schemas.openxmlformats.org/spreadsheetml/2006/main" count="544" uniqueCount="411">
  <si>
    <t>Budget</t>
  </si>
  <si>
    <t>Exisitng</t>
  </si>
  <si>
    <t>+</t>
  </si>
  <si>
    <t>Plans</t>
  </si>
  <si>
    <t>=</t>
  </si>
  <si>
    <t>Forecast</t>
  </si>
  <si>
    <t>Future outcome</t>
  </si>
  <si>
    <t>Bank HO</t>
  </si>
  <si>
    <t>Bank Branch</t>
  </si>
  <si>
    <t>Cost of funds</t>
  </si>
  <si>
    <t>Lending rate</t>
  </si>
  <si>
    <t>Lending rate Max</t>
  </si>
  <si>
    <t>Lending rate Min</t>
  </si>
  <si>
    <t>Branch Margin</t>
  </si>
  <si>
    <t>Customer demand</t>
  </si>
  <si>
    <t>Polythene</t>
  </si>
  <si>
    <t>Min Price</t>
  </si>
  <si>
    <t>450/Kg</t>
  </si>
  <si>
    <t>50/Kg</t>
  </si>
  <si>
    <t>500/Kg</t>
  </si>
  <si>
    <t>Customer</t>
  </si>
  <si>
    <t>Sales Person</t>
  </si>
  <si>
    <t>440/Kg</t>
  </si>
  <si>
    <t>Cost</t>
  </si>
  <si>
    <t>420/Kg</t>
  </si>
  <si>
    <t>Top</t>
  </si>
  <si>
    <t>Down</t>
  </si>
  <si>
    <t>Up</t>
  </si>
  <si>
    <t>Bottom</t>
  </si>
  <si>
    <t>Imposed</t>
  </si>
  <si>
    <t>Participatory</t>
  </si>
  <si>
    <t>Directors</t>
  </si>
  <si>
    <t>Line managers</t>
  </si>
  <si>
    <t>Traditional Budget</t>
  </si>
  <si>
    <t>Last year AFS</t>
  </si>
  <si>
    <t>Electricity</t>
  </si>
  <si>
    <t>Next Year Budget</t>
  </si>
  <si>
    <t>Inflation</t>
  </si>
  <si>
    <t>Sins</t>
  </si>
  <si>
    <t>C/F</t>
  </si>
  <si>
    <t>Sins - new year</t>
  </si>
  <si>
    <t>Exercise 01</t>
  </si>
  <si>
    <t>a)</t>
  </si>
  <si>
    <t>Budgeted variable cost per unit</t>
  </si>
  <si>
    <t>20,000/1,000</t>
  </si>
  <si>
    <t>Actual production</t>
  </si>
  <si>
    <t>Budgeted cost of actual production</t>
  </si>
  <si>
    <t>20*1,200</t>
  </si>
  <si>
    <t>Actual cost</t>
  </si>
  <si>
    <t>Cost Saving</t>
  </si>
  <si>
    <t>b)</t>
  </si>
  <si>
    <t>10,000/1,000</t>
  </si>
  <si>
    <t>(1,200*10)*10,000</t>
  </si>
  <si>
    <t>Cost Overrun</t>
  </si>
  <si>
    <t>The company has performed better</t>
  </si>
  <si>
    <t>The company has performed worst</t>
  </si>
  <si>
    <t>Exercise 2</t>
  </si>
  <si>
    <t>Comparable basis</t>
  </si>
  <si>
    <t>Comaparable Basis ------ Apples to Apples basis</t>
  </si>
  <si>
    <t>Actual</t>
  </si>
  <si>
    <t>Patients volumes</t>
  </si>
  <si>
    <t>Doctors cost</t>
  </si>
  <si>
    <t>100,000*60</t>
  </si>
  <si>
    <t>Nurses cost</t>
  </si>
  <si>
    <t>37,000*150</t>
  </si>
  <si>
    <t>Other staff cost</t>
  </si>
  <si>
    <t>1,440,000/20,000*23,750</t>
  </si>
  <si>
    <t>Catering cost</t>
  </si>
  <si>
    <t>(200,000*70%/20,000*23,750)+(200,000*30%)</t>
  </si>
  <si>
    <t>Cleaning cost</t>
  </si>
  <si>
    <t>(80,000*35%/20,000*23,750)+(80,000*65%)</t>
  </si>
  <si>
    <t>Other operating cost</t>
  </si>
  <si>
    <t>(1,200,000*30%/20,000*23,750)+(1,200,000*70%)</t>
  </si>
  <si>
    <t>Depreciation</t>
  </si>
  <si>
    <t>Total budgeted cost for the actual patients</t>
  </si>
  <si>
    <t>105,000*60</t>
  </si>
  <si>
    <t>34,500*150</t>
  </si>
  <si>
    <t>Exercise 3</t>
  </si>
  <si>
    <t>Cost in 2018</t>
  </si>
  <si>
    <t>Total varibale cost</t>
  </si>
  <si>
    <t>Rs.672,000*75%</t>
  </si>
  <si>
    <t>Variable cost of C</t>
  </si>
  <si>
    <t>504,000*40%</t>
  </si>
  <si>
    <t>Unit variable cost of C</t>
  </si>
  <si>
    <t>201,600/350</t>
  </si>
  <si>
    <t>Cost in 2019</t>
  </si>
  <si>
    <t>Rs.576*1.04</t>
  </si>
  <si>
    <t>Total variable cost of C</t>
  </si>
  <si>
    <t>Rs.599.04*340</t>
  </si>
  <si>
    <t>Total variable cost for nearest 100</t>
  </si>
  <si>
    <t>Inflated VC per unit of C</t>
  </si>
  <si>
    <t>Exercise 4</t>
  </si>
  <si>
    <t>30th November 2018</t>
  </si>
  <si>
    <t>Adults</t>
  </si>
  <si>
    <t>Young &amp; SC</t>
  </si>
  <si>
    <t>Under 14</t>
  </si>
  <si>
    <t>1D VP</t>
  </si>
  <si>
    <t>2D VP</t>
  </si>
  <si>
    <t>40*75%</t>
  </si>
  <si>
    <t>40*50%</t>
  </si>
  <si>
    <t>40*75%*75%</t>
  </si>
  <si>
    <t>40*50%*75%</t>
  </si>
  <si>
    <t>Annual Increment</t>
  </si>
  <si>
    <t>Budgeted Income Statement for the year ended 30th November 2019</t>
  </si>
  <si>
    <t>One day admission pass</t>
  </si>
  <si>
    <t>Qty * Price</t>
  </si>
  <si>
    <t>(2,090,400*25%*40%)*(40*1.04)</t>
  </si>
  <si>
    <t>(2,090,400*25%*20%)*(40*1.04*75%)</t>
  </si>
  <si>
    <t>(2,090,400*25%*40%)*(40*1.04*50%)</t>
  </si>
  <si>
    <t>Rs.</t>
  </si>
  <si>
    <t>Two day admission pass</t>
  </si>
  <si>
    <t>(2,090,400*75%*40%/2)*(40*1.04*75%*2)</t>
  </si>
  <si>
    <t>(2,090,400*75%*20%/2)*(40*1.04*75%*75%*2)</t>
  </si>
  <si>
    <t>(2,090,400*75%*40%/2)*(40*1.04*50%*75%*2)</t>
  </si>
  <si>
    <t>Income from traders</t>
  </si>
  <si>
    <t>54,000*8 + 36,000*12 + 18,000*10</t>
  </si>
  <si>
    <t>Total income from amusement park</t>
  </si>
  <si>
    <t>Total operating expenses of amusement park</t>
  </si>
  <si>
    <t>37,600,000*1.04</t>
  </si>
  <si>
    <t>Budgeted profit from the amusement park</t>
  </si>
  <si>
    <t>Income from rooms</t>
  </si>
  <si>
    <t>240rooms*365days*Rs100*1.04</t>
  </si>
  <si>
    <t>Operating cost</t>
  </si>
  <si>
    <t>7,950,000*1.04</t>
  </si>
  <si>
    <t>Budgeted operating profit from the hotel</t>
  </si>
  <si>
    <t>Total budgeted net profit for the year</t>
  </si>
  <si>
    <t>Budgeted income</t>
  </si>
  <si>
    <t>Accounting Period</t>
  </si>
  <si>
    <t>Sales</t>
  </si>
  <si>
    <t>Actual Sales</t>
  </si>
  <si>
    <t>X</t>
  </si>
  <si>
    <t>+1</t>
  </si>
  <si>
    <t>Budgeted Sales V1</t>
  </si>
  <si>
    <t>Budgeted Sales V2</t>
  </si>
  <si>
    <t>+2</t>
  </si>
  <si>
    <t>Budgeted Sales V3</t>
  </si>
  <si>
    <t>Exercise 5</t>
  </si>
  <si>
    <t>Quarter 1</t>
  </si>
  <si>
    <t>Quarter 2</t>
  </si>
  <si>
    <t>Quarter 3</t>
  </si>
  <si>
    <t>Quarter 4</t>
  </si>
  <si>
    <t>New Budget</t>
  </si>
  <si>
    <t>Total</t>
  </si>
  <si>
    <t>Add new quarter</t>
  </si>
  <si>
    <t>Exercise 7</t>
  </si>
  <si>
    <t>Set-up</t>
  </si>
  <si>
    <t>Machine</t>
  </si>
  <si>
    <t>Material handling</t>
  </si>
  <si>
    <t>Inspection</t>
  </si>
  <si>
    <t>Drivers</t>
  </si>
  <si>
    <t>OAR</t>
  </si>
  <si>
    <t>Z</t>
  </si>
  <si>
    <t>Y</t>
  </si>
  <si>
    <t>341.9*75</t>
  </si>
  <si>
    <t>*115</t>
  </si>
  <si>
    <t>*480</t>
  </si>
  <si>
    <t>5.6*1.5*750</t>
  </si>
  <si>
    <t>5.6*1*1,250</t>
  </si>
  <si>
    <t>5.6*3*7,000*</t>
  </si>
  <si>
    <t>818.13*12</t>
  </si>
  <si>
    <t>*21</t>
  </si>
  <si>
    <t>*87</t>
  </si>
  <si>
    <t>196.35*150</t>
  </si>
  <si>
    <t>*180</t>
  </si>
  <si>
    <t>*670</t>
  </si>
  <si>
    <t>Total overhead</t>
  </si>
  <si>
    <t>No. of units</t>
  </si>
  <si>
    <t>OH Cost per unit</t>
  </si>
  <si>
    <t>Direct cost</t>
  </si>
  <si>
    <t>OH Cost</t>
  </si>
  <si>
    <t>Full production cost</t>
  </si>
  <si>
    <t>Traditional cost</t>
  </si>
  <si>
    <t>Exercise 8</t>
  </si>
  <si>
    <t>Cost driver</t>
  </si>
  <si>
    <t>Variance</t>
  </si>
  <si>
    <t>Receiving goods</t>
  </si>
  <si>
    <t>Issuing goods</t>
  </si>
  <si>
    <t>Ordering</t>
  </si>
  <si>
    <t>Counting</t>
  </si>
  <si>
    <t>Keeping records</t>
  </si>
  <si>
    <t>Supervision</t>
  </si>
  <si>
    <t>No. of deliveries</t>
  </si>
  <si>
    <t>No. MRNs</t>
  </si>
  <si>
    <t>No. of orders</t>
  </si>
  <si>
    <t>No. of counts</t>
  </si>
  <si>
    <t>80*45</t>
  </si>
  <si>
    <t>100*40</t>
  </si>
  <si>
    <t>2*1000</t>
  </si>
  <si>
    <t>24,000/12</t>
  </si>
  <si>
    <t>30,000/12</t>
  </si>
  <si>
    <t>F</t>
  </si>
  <si>
    <t>A</t>
  </si>
  <si>
    <t>36*25</t>
  </si>
  <si>
    <t>(Act Activities*BOAR)</t>
  </si>
  <si>
    <t>Exercise 09</t>
  </si>
  <si>
    <t>Material cost</t>
  </si>
  <si>
    <t>W1</t>
  </si>
  <si>
    <t>W1 - Material cost</t>
  </si>
  <si>
    <t>01st 200 batch</t>
  </si>
  <si>
    <t>Rs.500*200</t>
  </si>
  <si>
    <t>02nd 200 batch</t>
  </si>
  <si>
    <t>Rs.500*90%*200</t>
  </si>
  <si>
    <t>Balance - 800 batches</t>
  </si>
  <si>
    <t>Rs.500*90%*90%*800</t>
  </si>
  <si>
    <t>Labour cost</t>
  </si>
  <si>
    <t>W2</t>
  </si>
  <si>
    <t>W2 - Labour cost</t>
  </si>
  <si>
    <t>Learning curve</t>
  </si>
  <si>
    <t>y=ax^b</t>
  </si>
  <si>
    <t>500 Batches no leaning curve</t>
  </si>
  <si>
    <t>The time of 700th batch will apply for 701-1200</t>
  </si>
  <si>
    <t>a = Rs.2,500</t>
  </si>
  <si>
    <t>x = 700</t>
  </si>
  <si>
    <t>b = -0.3219</t>
  </si>
  <si>
    <t>Labour cost for 01st 700 batches</t>
  </si>
  <si>
    <t>2,500*700^-0.3219</t>
  </si>
  <si>
    <t>Ave. Cost per Batch</t>
  </si>
  <si>
    <t>Total Cost</t>
  </si>
  <si>
    <t>Labour cost for balance 500 batches</t>
  </si>
  <si>
    <t>Labour cost of 700th batch</t>
  </si>
  <si>
    <t>2,500*699^-0.3219</t>
  </si>
  <si>
    <t>Labour cost of 700 batch</t>
  </si>
  <si>
    <t>Labour cost of 699 batch</t>
  </si>
  <si>
    <t>Labopur cost of 500 batches</t>
  </si>
  <si>
    <t>205.82*500</t>
  </si>
  <si>
    <t>Ttal labour cost</t>
  </si>
  <si>
    <t>212,422.73+102,912.14</t>
  </si>
  <si>
    <t>Variable OH</t>
  </si>
  <si>
    <t>315,334.87/5*2</t>
  </si>
  <si>
    <t>Rental cost</t>
  </si>
  <si>
    <t>15,000*12</t>
  </si>
  <si>
    <t>Total cost</t>
  </si>
  <si>
    <t>Total income</t>
  </si>
  <si>
    <t>1,200*1,050</t>
  </si>
  <si>
    <t>Net cash flow</t>
  </si>
  <si>
    <t>Traget net cash flow</t>
  </si>
  <si>
    <t>Decision - Spro is not viable since it does not generate the minimum net cash flow.</t>
  </si>
  <si>
    <t>Exercise 10 -  Budgetary control statement</t>
  </si>
  <si>
    <t>Fixed Budget</t>
  </si>
  <si>
    <t>Flex Budget</t>
  </si>
  <si>
    <t>Actuals</t>
  </si>
  <si>
    <t>Sales Qty</t>
  </si>
  <si>
    <t>5Mn</t>
  </si>
  <si>
    <t>Rs.Mn</t>
  </si>
  <si>
    <t>(-) Variable cost</t>
  </si>
  <si>
    <t>Contribution</t>
  </si>
  <si>
    <t>Fixed cost</t>
  </si>
  <si>
    <t>Profit</t>
  </si>
  <si>
    <t>6Mn</t>
  </si>
  <si>
    <t>250/5*6</t>
  </si>
  <si>
    <t>150/5*6</t>
  </si>
  <si>
    <t>Exercise 11</t>
  </si>
  <si>
    <t>Rs.000</t>
  </si>
  <si>
    <t>Revenue</t>
  </si>
  <si>
    <t>Material</t>
  </si>
  <si>
    <t>Labour</t>
  </si>
  <si>
    <t>Overhead</t>
  </si>
  <si>
    <t>(-) Fixed cost</t>
  </si>
  <si>
    <t>Production</t>
  </si>
  <si>
    <t>Administration</t>
  </si>
  <si>
    <t>250/10*11</t>
  </si>
  <si>
    <t>45/10*11</t>
  </si>
  <si>
    <t>60/10*11</t>
  </si>
  <si>
    <t>30/10*11</t>
  </si>
  <si>
    <t>Exercise 15</t>
  </si>
  <si>
    <t>Incremental budgeting system</t>
  </si>
  <si>
    <t>Budgeted Sales Next Year</t>
  </si>
  <si>
    <t>550,000*110%*1.03</t>
  </si>
  <si>
    <t>Exercise 20</t>
  </si>
  <si>
    <t>Original budget</t>
  </si>
  <si>
    <t xml:space="preserve">Actual </t>
  </si>
  <si>
    <t>Output batches</t>
  </si>
  <si>
    <t>D. Labour Hrs W1</t>
  </si>
  <si>
    <t>W1 - Flext Budget Direct Labour Hrs with revised assumptions</t>
  </si>
  <si>
    <t>y = ax^b</t>
  </si>
  <si>
    <t>Average time per batch for 30 batches</t>
  </si>
  <si>
    <t>10*30^-0.5146</t>
  </si>
  <si>
    <t>For 30 batches</t>
  </si>
  <si>
    <t>1.7373*30</t>
  </si>
  <si>
    <t>Hrs</t>
  </si>
  <si>
    <t>Average time per batch for 29 batches</t>
  </si>
  <si>
    <t>10*29^-0.5146</t>
  </si>
  <si>
    <t>Hrs per batch</t>
  </si>
  <si>
    <t>For 29 batches</t>
  </si>
  <si>
    <t>1.7679*29</t>
  </si>
  <si>
    <t>Ave. time for 30th batch</t>
  </si>
  <si>
    <t>52.12-51.27</t>
  </si>
  <si>
    <t>Total time for 50 batches</t>
  </si>
  <si>
    <t>For balance 20 batches</t>
  </si>
  <si>
    <t>0.851 *20</t>
  </si>
  <si>
    <t>D. Labour Cost</t>
  </si>
  <si>
    <t>69.13*Rs.120</t>
  </si>
  <si>
    <t xml:space="preserve"> 1) i)</t>
  </si>
  <si>
    <t>1) ii) - Calculate the variance as much as possible</t>
  </si>
  <si>
    <t>Direct Labour Rate Variance</t>
  </si>
  <si>
    <t>Std Rate</t>
  </si>
  <si>
    <t>-</t>
  </si>
  <si>
    <t>Act. Rate</t>
  </si>
  <si>
    <t>*</t>
  </si>
  <si>
    <t>Act Hrs</t>
  </si>
  <si>
    <t>11,460/93.65</t>
  </si>
  <si>
    <t>Direct Labour Efficiency Variance</t>
  </si>
  <si>
    <t>Std Hrs</t>
  </si>
  <si>
    <t>Act. Hrs</t>
  </si>
  <si>
    <t>Rate Variance</t>
  </si>
  <si>
    <t>Efficiency Variance</t>
  </si>
  <si>
    <t>Question 1</t>
  </si>
  <si>
    <t>Cost pools</t>
  </si>
  <si>
    <t>Customer service</t>
  </si>
  <si>
    <t>Merchandising</t>
  </si>
  <si>
    <t>Warehouse receiving</t>
  </si>
  <si>
    <t>Cost Drivers</t>
  </si>
  <si>
    <t>No. of customers</t>
  </si>
  <si>
    <t>No. of SKUs</t>
  </si>
  <si>
    <t>Nos. Drivers</t>
  </si>
  <si>
    <t>No. of pallet</t>
  </si>
  <si>
    <t>Budgeted overhead cost of clothing items</t>
  </si>
  <si>
    <t>No. of activities</t>
  </si>
  <si>
    <t>Question 2</t>
  </si>
  <si>
    <t>May</t>
  </si>
  <si>
    <t>June</t>
  </si>
  <si>
    <t>LC 5000 Units</t>
  </si>
  <si>
    <t>5,000TH UNITS</t>
  </si>
  <si>
    <t>A) i)</t>
  </si>
  <si>
    <t>Labour utilisation for first 3,000 units</t>
  </si>
  <si>
    <t>Average time per unit for 3,000 units</t>
  </si>
  <si>
    <t>8hrs*3,000^-0.152</t>
  </si>
  <si>
    <t>Hrs per unit</t>
  </si>
  <si>
    <t>Total time for 3,000 units</t>
  </si>
  <si>
    <t>2.369*3,000</t>
  </si>
  <si>
    <t>Labour cost for 3,000 units</t>
  </si>
  <si>
    <t>7,107.04 * Rs.200</t>
  </si>
  <si>
    <t>A) ii)</t>
  </si>
  <si>
    <t>Labour utilisation for first 5,000 units</t>
  </si>
  <si>
    <t>Average time per unit for 5,000 units</t>
  </si>
  <si>
    <t>Total time for 5,000 units</t>
  </si>
  <si>
    <t>Labour cost for 5,000 units</t>
  </si>
  <si>
    <t>8hrs*5,000^-0.152</t>
  </si>
  <si>
    <t>2.192*5,000</t>
  </si>
  <si>
    <t>10,960.15 * Rs.200</t>
  </si>
  <si>
    <t>B) Assess the production manager</t>
  </si>
  <si>
    <t>Stadard labour for 11,000 units</t>
  </si>
  <si>
    <t>2.369*11,000</t>
  </si>
  <si>
    <t>production manager took</t>
  </si>
  <si>
    <t>26,059 * Rs.200</t>
  </si>
  <si>
    <t>Labour cost Rs.</t>
  </si>
  <si>
    <t>production manager spent</t>
  </si>
  <si>
    <t>This is why production manager is happy</t>
  </si>
  <si>
    <t>Total time to complete 5,000 units</t>
  </si>
  <si>
    <t>Management account challenge with following calculation</t>
  </si>
  <si>
    <t>Total time to complete 4,999 units</t>
  </si>
  <si>
    <t>8hrs*4,999^-0.152</t>
  </si>
  <si>
    <t>2.1921*4,999</t>
  </si>
  <si>
    <t>Time taken to produce 5,000th unit</t>
  </si>
  <si>
    <t>Total revised labour budget for June - 11,000 units</t>
  </si>
  <si>
    <t>LC impact in May 2018</t>
  </si>
  <si>
    <t>LC impact in June 2018</t>
  </si>
  <si>
    <t>Balance after cease the LC</t>
  </si>
  <si>
    <t>Time taken to complete 2,000 units</t>
  </si>
  <si>
    <t>5,000 units - 3,000 units</t>
  </si>
  <si>
    <t>10,960.15 - 7,107.04</t>
  </si>
  <si>
    <t>Time taken to complete balance 9,000 units</t>
  </si>
  <si>
    <t>1.8589Hrs * 9,000 units</t>
  </si>
  <si>
    <t>Total time allowed to produce 11,000 units in June 2018</t>
  </si>
  <si>
    <t>Actual time taken by production manager</t>
  </si>
  <si>
    <t>Additional time taken by production manager</t>
  </si>
  <si>
    <t>417.06*Rs200</t>
  </si>
  <si>
    <t>Saving</t>
  </si>
  <si>
    <t>Total production upto June</t>
  </si>
  <si>
    <t>C) Budgetary Control Statement</t>
  </si>
  <si>
    <t>Flex</t>
  </si>
  <si>
    <t>Output units</t>
  </si>
  <si>
    <t>Material 2Kg*11,000*Rs.500</t>
  </si>
  <si>
    <t>Labour 20,582.94Hrs*Rs.200</t>
  </si>
  <si>
    <t>Variable OH Rs.400*11,000</t>
  </si>
  <si>
    <t>Fixed OH</t>
  </si>
  <si>
    <t>Additional labour cost incurred by production manager</t>
  </si>
  <si>
    <t>Question 3</t>
  </si>
  <si>
    <t>a) Preparation of profit statement</t>
  </si>
  <si>
    <t>Rs. Mn</t>
  </si>
  <si>
    <t>Fixed Annual Budget 100%</t>
  </si>
  <si>
    <t>Fixed Quaterly Budget 100%</t>
  </si>
  <si>
    <t>Fixed Quaterly Budget 90%</t>
  </si>
  <si>
    <t>380/400</t>
  </si>
  <si>
    <t>Flex Quaterly Budget 95%</t>
  </si>
  <si>
    <t>Actual @ 95%</t>
  </si>
  <si>
    <t>Revenue W1</t>
  </si>
  <si>
    <t>W1 - Revenue</t>
  </si>
  <si>
    <t>400B*360D*Rs.30,000</t>
  </si>
  <si>
    <t>400B*90D*Rs.30,000</t>
  </si>
  <si>
    <t>400B*90%*90D*Rs.30,000</t>
  </si>
  <si>
    <t>400B*95%*90D*Rs.30,000</t>
  </si>
  <si>
    <t>(3,500B*Rs.35,000)+(380B*90D-3,500B*Rs.30,000)/1,000,000</t>
  </si>
  <si>
    <t>Catering</t>
  </si>
  <si>
    <t>Cleaning</t>
  </si>
  <si>
    <t>Laundry</t>
  </si>
  <si>
    <t>Medical supervision</t>
  </si>
  <si>
    <t>Other overheads</t>
  </si>
  <si>
    <t>b) Profit reconciliation</t>
  </si>
  <si>
    <t>Quaterly profit as per fixed budget</t>
  </si>
  <si>
    <t>Quaterly profit as per flex budget</t>
  </si>
  <si>
    <t>Revenue variance</t>
  </si>
  <si>
    <t>Variable cost variance</t>
  </si>
  <si>
    <t>54.00F</t>
  </si>
  <si>
    <t>19.02A</t>
  </si>
  <si>
    <t>Actual profit</t>
  </si>
  <si>
    <t>17.5F</t>
  </si>
  <si>
    <t>3.41A</t>
  </si>
  <si>
    <t>Fixed cost variance</t>
  </si>
  <si>
    <t>18.75F</t>
  </si>
  <si>
    <t>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</si>
</sst>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quotePrefix="1"/>
    <xf numFmtId="43" fontId="0" fillId="0" borderId="0" xfId="1" applyFont="1"/>
    <xf numFmtId="9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43" fontId="0" fillId="0" borderId="0" xfId="0" applyNumberFormat="1"/>
    <xf numFmtId="43" fontId="2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43" fontId="3" fillId="0" borderId="1" xfId="0" applyNumberFormat="1" applyFont="1" applyBorder="1"/>
    <xf numFmtId="43" fontId="4" fillId="0" borderId="1" xfId="1" applyFont="1" applyBorder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left" indent="2"/>
    </xf>
    <xf numFmtId="164" fontId="0" fillId="2" borderId="0" xfId="0" applyNumberFormat="1" applyFill="1" applyAlignment="1">
      <alignment horizontal="left"/>
    </xf>
    <xf numFmtId="0" fontId="5" fillId="0" borderId="0" xfId="0" applyFont="1" applyAlignment="1">
      <alignment horizontal="right"/>
    </xf>
    <xf numFmtId="43" fontId="3" fillId="0" borderId="0" xfId="1" applyFont="1"/>
    <xf numFmtId="0" fontId="4" fillId="0" borderId="0" xfId="0" applyFont="1" applyAlignment="1">
      <alignment horizontal="left"/>
    </xf>
    <xf numFmtId="43" fontId="4" fillId="0" borderId="0" xfId="1" applyFont="1"/>
    <xf numFmtId="0" fontId="0" fillId="0" borderId="2" xfId="0" applyBorder="1"/>
    <xf numFmtId="0" fontId="0" fillId="0" borderId="0" xfId="0" applyFont="1"/>
    <xf numFmtId="43" fontId="4" fillId="0" borderId="1" xfId="0" applyNumberFormat="1" applyFont="1" applyBorder="1"/>
    <xf numFmtId="43" fontId="0" fillId="0" borderId="2" xfId="1" applyFont="1" applyBorder="1"/>
    <xf numFmtId="43" fontId="4" fillId="0" borderId="0" xfId="0" applyNumberFormat="1" applyFont="1"/>
    <xf numFmtId="17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17" fontId="0" fillId="2" borderId="0" xfId="0" applyNumberFormat="1" applyFill="1"/>
    <xf numFmtId="43" fontId="0" fillId="2" borderId="0" xfId="1" applyFont="1" applyFill="1"/>
    <xf numFmtId="0" fontId="0" fillId="3" borderId="0" xfId="0" applyFill="1"/>
    <xf numFmtId="0" fontId="0" fillId="4" borderId="0" xfId="0" quotePrefix="1" applyFill="1" applyAlignment="1">
      <alignment horizontal="center"/>
    </xf>
    <xf numFmtId="0" fontId="0" fillId="4" borderId="0" xfId="0" quotePrefix="1" applyFill="1"/>
    <xf numFmtId="17" fontId="0" fillId="4" borderId="0" xfId="0" applyNumberFormat="1" applyFill="1"/>
    <xf numFmtId="0" fontId="0" fillId="4" borderId="0" xfId="0" applyFill="1"/>
    <xf numFmtId="43" fontId="0" fillId="4" borderId="0" xfId="1" applyFont="1" applyFill="1"/>
    <xf numFmtId="43" fontId="0" fillId="5" borderId="0" xfId="1" applyFont="1" applyFill="1"/>
    <xf numFmtId="0" fontId="6" fillId="0" borderId="0" xfId="0" applyFont="1" applyAlignment="1">
      <alignment horizontal="center"/>
    </xf>
    <xf numFmtId="43" fontId="2" fillId="0" borderId="0" xfId="0" applyNumberFormat="1" applyFont="1"/>
    <xf numFmtId="43" fontId="2" fillId="0" borderId="0" xfId="1" applyFont="1"/>
    <xf numFmtId="43" fontId="0" fillId="0" borderId="1" xfId="0" applyNumberFormat="1" applyBorder="1"/>
    <xf numFmtId="0" fontId="0" fillId="0" borderId="0" xfId="0" applyAlignment="1">
      <alignment horizontal="right" wrapText="1"/>
    </xf>
    <xf numFmtId="0" fontId="7" fillId="0" borderId="0" xfId="0" applyFont="1"/>
    <xf numFmtId="43" fontId="7" fillId="0" borderId="0" xfId="0" applyNumberFormat="1" applyFont="1"/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43" fontId="0" fillId="4" borderId="0" xfId="0" applyNumberFormat="1" applyFill="1"/>
    <xf numFmtId="43" fontId="4" fillId="4" borderId="1" xfId="0" applyNumberFormat="1" applyFont="1" applyFill="1" applyBorder="1"/>
    <xf numFmtId="0" fontId="3" fillId="4" borderId="0" xfId="0" applyFont="1" applyFill="1" applyAlignment="1">
      <alignment horizontal="right"/>
    </xf>
    <xf numFmtId="0" fontId="0" fillId="0" borderId="0" xfId="0" applyFont="1" applyAlignment="1">
      <alignment horizontal="left" indent="2"/>
    </xf>
    <xf numFmtId="43" fontId="8" fillId="0" borderId="0" xfId="1" applyFont="1"/>
    <xf numFmtId="43" fontId="8" fillId="0" borderId="0" xfId="0" applyNumberFormat="1" applyFont="1"/>
    <xf numFmtId="0" fontId="0" fillId="4" borderId="0" xfId="0" applyFill="1" applyAlignment="1">
      <alignment horizontal="center" vertical="center"/>
    </xf>
    <xf numFmtId="43" fontId="8" fillId="4" borderId="0" xfId="1" applyFont="1" applyFill="1"/>
    <xf numFmtId="43" fontId="2" fillId="4" borderId="0" xfId="0" applyNumberFormat="1" applyFont="1" applyFill="1"/>
    <xf numFmtId="43" fontId="0" fillId="0" borderId="4" xfId="1" applyFont="1" applyBorder="1"/>
    <xf numFmtId="0" fontId="0" fillId="6" borderId="0" xfId="0" applyFill="1"/>
    <xf numFmtId="43" fontId="0" fillId="6" borderId="0" xfId="1" applyFont="1" applyFill="1"/>
    <xf numFmtId="43" fontId="0" fillId="6" borderId="0" xfId="0" applyNumberFormat="1" applyFill="1"/>
    <xf numFmtId="43" fontId="9" fillId="0" borderId="0" xfId="1" applyFont="1"/>
    <xf numFmtId="0" fontId="3" fillId="7" borderId="0" xfId="0" applyFont="1" applyFill="1" applyAlignment="1">
      <alignment horizontal="right"/>
    </xf>
    <xf numFmtId="165" fontId="0" fillId="0" borderId="0" xfId="1" applyNumberFormat="1" applyFont="1"/>
    <xf numFmtId="166" fontId="0" fillId="0" borderId="0" xfId="1" applyNumberFormat="1" applyFont="1"/>
    <xf numFmtId="165" fontId="0" fillId="0" borderId="0" xfId="0" applyNumberFormat="1"/>
    <xf numFmtId="0" fontId="0" fillId="0" borderId="0" xfId="0" quotePrefix="1" applyAlignment="1">
      <alignment horizontal="center"/>
    </xf>
    <xf numFmtId="0" fontId="0" fillId="0" borderId="4" xfId="0" applyBorder="1"/>
    <xf numFmtId="43" fontId="0" fillId="0" borderId="4" xfId="0" applyNumberFormat="1" applyBorder="1"/>
    <xf numFmtId="43" fontId="0" fillId="0" borderId="0" xfId="1" applyFont="1" applyAlignment="1">
      <alignment horizontal="left"/>
    </xf>
    <xf numFmtId="43" fontId="2" fillId="0" borderId="0" xfId="1" applyFont="1" applyAlignment="1">
      <alignment horizontal="left"/>
    </xf>
    <xf numFmtId="0" fontId="6" fillId="0" borderId="0" xfId="0" applyFont="1"/>
    <xf numFmtId="166" fontId="0" fillId="0" borderId="4" xfId="0" applyNumberFormat="1" applyBorder="1"/>
    <xf numFmtId="43" fontId="2" fillId="0" borderId="1" xfId="1" applyFont="1" applyBorder="1"/>
    <xf numFmtId="167" fontId="0" fillId="0" borderId="0" xfId="1" applyNumberFormat="1" applyFont="1"/>
    <xf numFmtId="0" fontId="0" fillId="9" borderId="0" xfId="0" applyFill="1"/>
    <xf numFmtId="43" fontId="0" fillId="9" borderId="0" xfId="1" applyFont="1" applyFill="1"/>
    <xf numFmtId="43" fontId="0" fillId="9" borderId="0" xfId="0" applyNumberFormat="1" applyFill="1"/>
    <xf numFmtId="0" fontId="2" fillId="9" borderId="0" xfId="0" applyFont="1" applyFill="1"/>
    <xf numFmtId="43" fontId="2" fillId="9" borderId="0" xfId="1" applyFont="1" applyFill="1"/>
    <xf numFmtId="0" fontId="0" fillId="0" borderId="0" xfId="0" applyAlignment="1">
      <alignment wrapText="1"/>
    </xf>
    <xf numFmtId="9" fontId="0" fillId="0" borderId="0" xfId="2" applyFont="1"/>
    <xf numFmtId="43" fontId="0" fillId="0" borderId="0" xfId="1" applyFont="1" applyAlignment="1">
      <alignment horizontal="right"/>
    </xf>
    <xf numFmtId="0" fontId="3" fillId="0" borderId="0" xfId="0" applyFont="1" applyAlignment="1">
      <alignment horizontal="right" wrapText="1"/>
    </xf>
    <xf numFmtId="165" fontId="0" fillId="0" borderId="8" xfId="1" applyNumberFormat="1" applyFont="1" applyBorder="1"/>
    <xf numFmtId="43" fontId="0" fillId="0" borderId="8" xfId="0" applyNumberFormat="1" applyBorder="1"/>
    <xf numFmtId="0" fontId="3" fillId="10" borderId="0" xfId="0" applyFont="1" applyFill="1" applyAlignment="1">
      <alignment horizontal="right" wrapText="1"/>
    </xf>
    <xf numFmtId="43" fontId="0" fillId="10" borderId="0" xfId="0" applyNumberFormat="1" applyFill="1"/>
    <xf numFmtId="0" fontId="0" fillId="10" borderId="0" xfId="0" applyFill="1"/>
    <xf numFmtId="43" fontId="0" fillId="10" borderId="0" xfId="1" applyFont="1" applyFill="1"/>
    <xf numFmtId="43" fontId="0" fillId="10" borderId="8" xfId="0" applyNumberFormat="1" applyFill="1" applyBorder="1"/>
    <xf numFmtId="43" fontId="3" fillId="10" borderId="1" xfId="0" applyNumberFormat="1" applyFont="1" applyFill="1" applyBorder="1"/>
    <xf numFmtId="43" fontId="3" fillId="0" borderId="0" xfId="0" applyNumberFormat="1" applyFont="1"/>
    <xf numFmtId="0" fontId="0" fillId="0" borderId="2" xfId="0" applyBorder="1" applyAlignment="1">
      <alignment horizontal="right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9" borderId="0" xfId="0" applyFont="1" applyFill="1" applyAlignment="1">
      <alignment horizontal="center" wrapText="1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19</xdr:row>
      <xdr:rowOff>85725</xdr:rowOff>
    </xdr:from>
    <xdr:to>
      <xdr:col>5</xdr:col>
      <xdr:colOff>0</xdr:colOff>
      <xdr:row>26</xdr:row>
      <xdr:rowOff>104775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924300" y="3705225"/>
          <a:ext cx="438150" cy="1352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85725</xdr:colOff>
      <xdr:row>19</xdr:row>
      <xdr:rowOff>57150</xdr:rowOff>
    </xdr:from>
    <xdr:to>
      <xdr:col>8</xdr:col>
      <xdr:colOff>523875</xdr:colOff>
      <xdr:row>26</xdr:row>
      <xdr:rowOff>76200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 rot="10800000">
          <a:off x="6343650" y="3676650"/>
          <a:ext cx="438150" cy="1352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428624</xdr:colOff>
      <xdr:row>19</xdr:row>
      <xdr:rowOff>114300</xdr:rowOff>
    </xdr:to>
    <xdr:sp macro="" textlink="">
      <xdr:nvSpPr>
        <xdr:cNvPr id="4" name="Rectangle 3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762001</xdr:colOff>
      <xdr:row>5</xdr:row>
      <xdr:rowOff>104775</xdr:rowOff>
    </xdr:from>
    <xdr:to>
      <xdr:col>4</xdr:col>
      <xdr:colOff>171450</xdr:colOff>
      <xdr:row>5</xdr:row>
      <xdr:rowOff>104776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flipH="1">
          <a:off x="3448051" y="1057275"/>
          <a:ext cx="36194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104774</xdr:colOff>
      <xdr:row>19</xdr:row>
      <xdr:rowOff>95250</xdr:rowOff>
    </xdr:to>
    <xdr:sp macro="" textlink="">
      <xdr:nvSpPr>
        <xdr:cNvPr id="4" name="Rectangle 3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4</xdr:row>
      <xdr:rowOff>104775</xdr:rowOff>
    </xdr:from>
    <xdr:to>
      <xdr:col>4</xdr:col>
      <xdr:colOff>266700</xdr:colOff>
      <xdr:row>4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flipH="1">
          <a:off x="3171825" y="866775"/>
          <a:ext cx="4381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542924</xdr:colOff>
      <xdr:row>19</xdr:row>
      <xdr:rowOff>66675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523874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142874</xdr:colOff>
      <xdr:row>19</xdr:row>
      <xdr:rowOff>66675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371474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95249</xdr:colOff>
      <xdr:row>19</xdr:row>
      <xdr:rowOff>19050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47624</xdr:colOff>
      <xdr:row>18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561974</xdr:colOff>
      <xdr:row>19</xdr:row>
      <xdr:rowOff>85725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5</xdr:row>
      <xdr:rowOff>0</xdr:rowOff>
    </xdr:from>
    <xdr:to>
      <xdr:col>4</xdr:col>
      <xdr:colOff>200025</xdr:colOff>
      <xdr:row>6</xdr:row>
      <xdr:rowOff>19050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905250" y="952500"/>
          <a:ext cx="1104900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476249</xdr:colOff>
      <xdr:row>19</xdr:row>
      <xdr:rowOff>95250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447674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209549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561974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609599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9"/>
  <sheetViews>
    <sheetView tabSelected="1" workbookViewId="0">
      <selection activeCell="A22" sqref="A22"/>
    </sheetView>
  </sheetViews>
  <sheetFormatPr defaultRowHeight="15" x14ac:dyDescent="0.25"/>
  <cols>
    <col min="1" max="1" width="16.7109375" customWidth="1"/>
    <col min="2" max="2" width="11.28515625" customWidth="1"/>
    <col min="3" max="3" width="17.5703125" bestFit="1" customWidth="1"/>
    <col min="4" max="4" width="15" customWidth="1"/>
    <col min="5" max="5" width="15.42578125" customWidth="1"/>
    <col min="7" max="7" width="10.140625" bestFit="1" customWidth="1"/>
    <col min="10" max="10" width="12.140625" bestFit="1" customWidth="1"/>
  </cols>
  <sheetData>
    <row r="5" spans="1:11" x14ac:dyDescent="0.25">
      <c r="B5" t="s">
        <v>0</v>
      </c>
      <c r="D5" t="s">
        <v>1</v>
      </c>
      <c r="E5" s="1" t="s">
        <v>2</v>
      </c>
      <c r="F5" t="s">
        <v>3</v>
      </c>
      <c r="G5" s="1" t="s">
        <v>4</v>
      </c>
      <c r="H5" t="s">
        <v>6</v>
      </c>
    </row>
    <row r="7" spans="1:11" x14ac:dyDescent="0.25">
      <c r="B7" t="s">
        <v>5</v>
      </c>
      <c r="D7" t="s">
        <v>1</v>
      </c>
      <c r="E7" s="1" t="s">
        <v>2</v>
      </c>
      <c r="F7" s="2">
        <v>0</v>
      </c>
      <c r="G7" s="1" t="s">
        <v>4</v>
      </c>
      <c r="H7" t="s">
        <v>6</v>
      </c>
    </row>
    <row r="11" spans="1:11" x14ac:dyDescent="0.25">
      <c r="B11" t="s">
        <v>7</v>
      </c>
      <c r="D11" t="s">
        <v>8</v>
      </c>
    </row>
    <row r="12" spans="1:11" x14ac:dyDescent="0.25">
      <c r="A12" t="s">
        <v>9</v>
      </c>
      <c r="B12" s="3">
        <v>0.06</v>
      </c>
      <c r="I12" t="s">
        <v>16</v>
      </c>
      <c r="J12" t="s">
        <v>21</v>
      </c>
      <c r="K12" t="s">
        <v>20</v>
      </c>
    </row>
    <row r="13" spans="1:11" x14ac:dyDescent="0.25">
      <c r="A13" t="s">
        <v>10</v>
      </c>
      <c r="B13" s="3">
        <v>0.11</v>
      </c>
      <c r="C13" t="s">
        <v>11</v>
      </c>
      <c r="D13" s="5">
        <v>0.11</v>
      </c>
      <c r="G13" t="s">
        <v>15</v>
      </c>
      <c r="H13" t="s">
        <v>16</v>
      </c>
      <c r="I13" t="s">
        <v>17</v>
      </c>
      <c r="J13" t="s">
        <v>18</v>
      </c>
      <c r="K13" t="s">
        <v>19</v>
      </c>
    </row>
    <row r="14" spans="1:11" x14ac:dyDescent="0.25">
      <c r="C14" t="s">
        <v>12</v>
      </c>
      <c r="D14" s="4">
        <v>9.5000000000000001E-2</v>
      </c>
      <c r="H14" t="s">
        <v>23</v>
      </c>
      <c r="I14" t="s">
        <v>24</v>
      </c>
    </row>
    <row r="15" spans="1:11" x14ac:dyDescent="0.25">
      <c r="C15" t="s">
        <v>13</v>
      </c>
      <c r="D15" s="5">
        <f>D13-D14</f>
        <v>1.4999999999999999E-2</v>
      </c>
      <c r="K15" t="s">
        <v>22</v>
      </c>
    </row>
    <row r="17" spans="3:10" x14ac:dyDescent="0.25">
      <c r="C17" t="s">
        <v>14</v>
      </c>
      <c r="D17" s="3">
        <v>0.08</v>
      </c>
    </row>
    <row r="19" spans="3:10" x14ac:dyDescent="0.25">
      <c r="D19" s="6" t="s">
        <v>31</v>
      </c>
      <c r="E19" t="s">
        <v>25</v>
      </c>
      <c r="I19" t="s">
        <v>27</v>
      </c>
      <c r="J19" s="6" t="s">
        <v>31</v>
      </c>
    </row>
    <row r="28" spans="3:10" x14ac:dyDescent="0.25">
      <c r="D28" s="6" t="s">
        <v>32</v>
      </c>
      <c r="E28" t="s">
        <v>26</v>
      </c>
      <c r="I28" t="s">
        <v>28</v>
      </c>
      <c r="J28" s="6" t="s">
        <v>32</v>
      </c>
    </row>
    <row r="30" spans="3:10" x14ac:dyDescent="0.25">
      <c r="E30" t="s">
        <v>29</v>
      </c>
      <c r="I30" t="s">
        <v>30</v>
      </c>
    </row>
    <row r="34" spans="2:5" x14ac:dyDescent="0.25">
      <c r="C34" t="s">
        <v>33</v>
      </c>
    </row>
    <row r="36" spans="2:5" x14ac:dyDescent="0.25">
      <c r="C36" s="7" t="s">
        <v>34</v>
      </c>
      <c r="D36" t="s">
        <v>37</v>
      </c>
      <c r="E36" t="s">
        <v>36</v>
      </c>
    </row>
    <row r="37" spans="2:5" x14ac:dyDescent="0.25">
      <c r="B37" t="s">
        <v>35</v>
      </c>
      <c r="C37" s="2">
        <v>5000</v>
      </c>
      <c r="D37" s="3">
        <v>0.06</v>
      </c>
      <c r="E37" s="2">
        <f>C37*(D37+1)</f>
        <v>5300</v>
      </c>
    </row>
    <row r="39" spans="2:5" x14ac:dyDescent="0.25">
      <c r="C39" t="s">
        <v>38</v>
      </c>
      <c r="D39" t="s">
        <v>39</v>
      </c>
      <c r="E39" t="s">
        <v>40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F22" sqref="F22"/>
    </sheetView>
  </sheetViews>
  <sheetFormatPr defaultRowHeight="15" x14ac:dyDescent="0.25"/>
  <cols>
    <col min="1" max="1" width="18.5703125" customWidth="1"/>
    <col min="2" max="2" width="12.5703125" bestFit="1" customWidth="1"/>
    <col min="4" max="4" width="14.28515625" customWidth="1"/>
    <col min="5" max="5" width="12" customWidth="1"/>
  </cols>
  <sheetData>
    <row r="2" spans="1:7" x14ac:dyDescent="0.25">
      <c r="A2" s="8" t="s">
        <v>237</v>
      </c>
    </row>
    <row r="5" spans="1:7" x14ac:dyDescent="0.25">
      <c r="A5" s="8" t="s">
        <v>243</v>
      </c>
      <c r="B5" s="12" t="s">
        <v>238</v>
      </c>
      <c r="C5" s="12"/>
      <c r="D5" s="52" t="s">
        <v>239</v>
      </c>
      <c r="E5" s="12" t="s">
        <v>240</v>
      </c>
      <c r="F5" s="12" t="s">
        <v>174</v>
      </c>
    </row>
    <row r="6" spans="1:7" x14ac:dyDescent="0.25">
      <c r="A6" t="s">
        <v>241</v>
      </c>
      <c r="B6" s="48" t="s">
        <v>242</v>
      </c>
      <c r="C6" s="16"/>
      <c r="D6" s="49" t="s">
        <v>248</v>
      </c>
      <c r="E6" s="48" t="s">
        <v>248</v>
      </c>
    </row>
    <row r="7" spans="1:7" x14ac:dyDescent="0.25">
      <c r="A7" t="s">
        <v>128</v>
      </c>
      <c r="B7" s="2">
        <f>5*50</f>
        <v>250</v>
      </c>
      <c r="C7" t="s">
        <v>249</v>
      </c>
      <c r="D7" s="39">
        <f>250/5*6</f>
        <v>300</v>
      </c>
      <c r="E7" s="2">
        <f>6*48</f>
        <v>288</v>
      </c>
      <c r="F7" s="9">
        <f>+D7-E7</f>
        <v>12</v>
      </c>
      <c r="G7" t="s">
        <v>191</v>
      </c>
    </row>
    <row r="8" spans="1:7" x14ac:dyDescent="0.25">
      <c r="A8" t="s">
        <v>244</v>
      </c>
      <c r="B8" s="2">
        <f>-30*5</f>
        <v>-150</v>
      </c>
      <c r="C8" t="s">
        <v>250</v>
      </c>
      <c r="D8" s="39">
        <f>-150/5*6</f>
        <v>-180</v>
      </c>
      <c r="E8" s="2">
        <f>-32*6</f>
        <v>-192</v>
      </c>
      <c r="F8" s="2">
        <v>12</v>
      </c>
      <c r="G8" t="s">
        <v>191</v>
      </c>
    </row>
    <row r="9" spans="1:7" x14ac:dyDescent="0.25">
      <c r="A9" t="s">
        <v>245</v>
      </c>
      <c r="B9" s="9">
        <f>SUM(B7:B8)</f>
        <v>100</v>
      </c>
      <c r="D9" s="50">
        <f>SUM(D7:D8)</f>
        <v>120</v>
      </c>
      <c r="E9" s="9">
        <f>SUM(E7:E8)</f>
        <v>96</v>
      </c>
      <c r="F9" s="2">
        <v>24</v>
      </c>
      <c r="G9" t="s">
        <v>191</v>
      </c>
    </row>
    <row r="10" spans="1:7" x14ac:dyDescent="0.25">
      <c r="A10" t="s">
        <v>246</v>
      </c>
      <c r="B10" s="2">
        <v>-25</v>
      </c>
      <c r="D10" s="39">
        <v>-25</v>
      </c>
      <c r="E10" s="2">
        <v>-20</v>
      </c>
      <c r="F10" s="2">
        <v>5</v>
      </c>
      <c r="G10" t="s">
        <v>190</v>
      </c>
    </row>
    <row r="11" spans="1:7" s="11" customFormat="1" ht="15.75" thickBot="1" x14ac:dyDescent="0.3">
      <c r="A11" s="11" t="s">
        <v>247</v>
      </c>
      <c r="B11" s="26">
        <f>SUM(B9:B10)</f>
        <v>75</v>
      </c>
      <c r="D11" s="51">
        <f>SUM(D9:D10)</f>
        <v>95</v>
      </c>
      <c r="E11" s="26">
        <f>SUM(E9:E10)</f>
        <v>76</v>
      </c>
      <c r="F11" s="14">
        <v>19</v>
      </c>
      <c r="G11" s="11" t="s">
        <v>191</v>
      </c>
    </row>
    <row r="12" spans="1:7" ht="15.75" thickTop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C22" sqref="C22"/>
    </sheetView>
  </sheetViews>
  <sheetFormatPr defaultRowHeight="15" x14ac:dyDescent="0.25"/>
  <cols>
    <col min="1" max="1" width="17" bestFit="1" customWidth="1"/>
    <col min="2" max="2" width="12.5703125" bestFit="1" customWidth="1"/>
    <col min="3" max="3" width="9.85546875" bestFit="1" customWidth="1"/>
    <col min="4" max="4" width="11.42578125" bestFit="1" customWidth="1"/>
  </cols>
  <sheetData>
    <row r="2" spans="1:7" x14ac:dyDescent="0.25">
      <c r="A2" s="8" t="s">
        <v>251</v>
      </c>
    </row>
    <row r="4" spans="1:7" x14ac:dyDescent="0.25">
      <c r="A4" s="8" t="s">
        <v>252</v>
      </c>
      <c r="B4" s="12" t="s">
        <v>238</v>
      </c>
      <c r="C4" s="12"/>
      <c r="D4" s="52" t="s">
        <v>239</v>
      </c>
      <c r="E4" s="12" t="s">
        <v>240</v>
      </c>
      <c r="F4" s="12" t="s">
        <v>174</v>
      </c>
    </row>
    <row r="5" spans="1:7" x14ac:dyDescent="0.25">
      <c r="A5" t="s">
        <v>241</v>
      </c>
      <c r="B5" s="2">
        <v>10</v>
      </c>
      <c r="D5" s="56">
        <v>11</v>
      </c>
      <c r="E5">
        <v>11</v>
      </c>
      <c r="F5">
        <v>0</v>
      </c>
    </row>
    <row r="6" spans="1:7" x14ac:dyDescent="0.25">
      <c r="A6" s="25" t="s">
        <v>253</v>
      </c>
      <c r="B6" s="2">
        <v>250</v>
      </c>
      <c r="C6" t="s">
        <v>260</v>
      </c>
      <c r="D6" s="39">
        <f>250/10*11</f>
        <v>275</v>
      </c>
      <c r="E6" s="2">
        <v>255</v>
      </c>
      <c r="F6" s="9">
        <f>+D6-E6</f>
        <v>20</v>
      </c>
      <c r="G6" t="s">
        <v>191</v>
      </c>
    </row>
    <row r="7" spans="1:7" x14ac:dyDescent="0.25">
      <c r="A7" s="17" t="s">
        <v>244</v>
      </c>
      <c r="B7" s="2"/>
      <c r="D7" s="38"/>
    </row>
    <row r="8" spans="1:7" x14ac:dyDescent="0.25">
      <c r="A8" s="25" t="s">
        <v>254</v>
      </c>
      <c r="B8" s="2">
        <v>-45</v>
      </c>
      <c r="C8" t="s">
        <v>261</v>
      </c>
      <c r="D8" s="39">
        <f>-45/10*11</f>
        <v>-49.5</v>
      </c>
      <c r="E8" s="2">
        <v>-48.6</v>
      </c>
      <c r="F8" s="9">
        <v>0.9</v>
      </c>
      <c r="G8" t="s">
        <v>190</v>
      </c>
    </row>
    <row r="9" spans="1:7" x14ac:dyDescent="0.25">
      <c r="A9" s="25" t="s">
        <v>255</v>
      </c>
      <c r="B9" s="2">
        <v>-60</v>
      </c>
      <c r="C9" t="s">
        <v>262</v>
      </c>
      <c r="D9" s="39">
        <f>-60/10*11</f>
        <v>-66</v>
      </c>
      <c r="E9" s="2">
        <v>-71.400000000000006</v>
      </c>
      <c r="F9" s="9">
        <v>5.4</v>
      </c>
      <c r="G9" t="s">
        <v>191</v>
      </c>
    </row>
    <row r="10" spans="1:7" ht="17.25" x14ac:dyDescent="0.4">
      <c r="A10" s="25" t="s">
        <v>256</v>
      </c>
      <c r="B10" s="54">
        <v>-30</v>
      </c>
      <c r="C10" t="s">
        <v>263</v>
      </c>
      <c r="D10" s="57">
        <f>-30/10*11</f>
        <v>-33</v>
      </c>
      <c r="E10" s="54">
        <v>-40</v>
      </c>
      <c r="F10" s="55">
        <v>13</v>
      </c>
      <c r="G10" t="s">
        <v>191</v>
      </c>
    </row>
    <row r="11" spans="1:7" x14ac:dyDescent="0.25">
      <c r="A11" s="6" t="s">
        <v>245</v>
      </c>
      <c r="B11" s="42">
        <f>SUM(B6:B10)</f>
        <v>115</v>
      </c>
      <c r="C11" s="6"/>
      <c r="D11" s="58">
        <f>SUM(D6:D10)</f>
        <v>126.5</v>
      </c>
      <c r="E11" s="43">
        <f>SUM(E6:E10)</f>
        <v>95</v>
      </c>
      <c r="F11" s="42">
        <f>D11-E11</f>
        <v>31.5</v>
      </c>
      <c r="G11" s="6" t="s">
        <v>191</v>
      </c>
    </row>
    <row r="12" spans="1:7" x14ac:dyDescent="0.25">
      <c r="A12" s="25" t="s">
        <v>257</v>
      </c>
      <c r="D12" s="38"/>
    </row>
    <row r="13" spans="1:7" x14ac:dyDescent="0.25">
      <c r="A13" s="53" t="s">
        <v>258</v>
      </c>
      <c r="B13" s="9">
        <v>-35</v>
      </c>
      <c r="D13" s="39">
        <v>-35</v>
      </c>
      <c r="E13" s="2">
        <v>-38</v>
      </c>
      <c r="F13" s="9">
        <v>3</v>
      </c>
      <c r="G13" t="s">
        <v>191</v>
      </c>
    </row>
    <row r="14" spans="1:7" x14ac:dyDescent="0.25">
      <c r="A14" s="53" t="s">
        <v>259</v>
      </c>
      <c r="B14" s="9">
        <v>-35</v>
      </c>
      <c r="D14" s="39">
        <v>-35</v>
      </c>
      <c r="E14" s="2">
        <v>-34</v>
      </c>
      <c r="F14" s="9">
        <v>1</v>
      </c>
      <c r="G14" t="s">
        <v>190</v>
      </c>
    </row>
    <row r="15" spans="1:7" ht="15.75" thickBot="1" x14ac:dyDescent="0.3">
      <c r="A15" s="11" t="s">
        <v>247</v>
      </c>
      <c r="B15" s="26">
        <f>SUM(B11:B13)</f>
        <v>80</v>
      </c>
      <c r="C15" s="11"/>
      <c r="D15" s="51">
        <f>SUM(D11:D14)</f>
        <v>56.5</v>
      </c>
      <c r="E15" s="26">
        <f>SUM(E11:E14)</f>
        <v>23</v>
      </c>
      <c r="F15" s="26">
        <f>D15-E15</f>
        <v>33.5</v>
      </c>
      <c r="G15" s="11" t="s">
        <v>191</v>
      </c>
    </row>
    <row r="16" spans="1:7" ht="15.75" thickTop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A21" sqref="A21"/>
    </sheetView>
  </sheetViews>
  <sheetFormatPr defaultRowHeight="15" x14ac:dyDescent="0.25"/>
  <cols>
    <col min="1" max="1" width="27.5703125" customWidth="1"/>
    <col min="2" max="2" width="18" bestFit="1" customWidth="1"/>
    <col min="3" max="3" width="11.5703125" bestFit="1" customWidth="1"/>
    <col min="5" max="5" width="11.5703125" bestFit="1" customWidth="1"/>
    <col min="8" max="8" width="11.5703125" bestFit="1" customWidth="1"/>
    <col min="9" max="9" width="9.28515625" bestFit="1" customWidth="1"/>
    <col min="10" max="10" width="11.5703125" bestFit="1" customWidth="1"/>
    <col min="12" max="12" width="11.5703125" bestFit="1" customWidth="1"/>
    <col min="14" max="14" width="11.5703125" bestFit="1" customWidth="1"/>
  </cols>
  <sheetData>
    <row r="2" spans="1:14" x14ac:dyDescent="0.25">
      <c r="A2" s="8" t="s">
        <v>264</v>
      </c>
    </row>
    <row r="4" spans="1:14" x14ac:dyDescent="0.25">
      <c r="A4" t="s">
        <v>265</v>
      </c>
    </row>
    <row r="5" spans="1:14" x14ac:dyDescent="0.25">
      <c r="H5" s="60"/>
      <c r="I5" s="60"/>
      <c r="J5" s="60"/>
    </row>
    <row r="6" spans="1:14" ht="15.75" thickBot="1" x14ac:dyDescent="0.3">
      <c r="A6" t="s">
        <v>266</v>
      </c>
      <c r="B6" t="s">
        <v>267</v>
      </c>
      <c r="C6" s="59">
        <f>550000*1.1*1.03</f>
        <v>623150</v>
      </c>
      <c r="E6" s="2">
        <f>550000*1.13</f>
        <v>621499.99999999988</v>
      </c>
      <c r="H6" s="61">
        <v>550000</v>
      </c>
      <c r="I6" s="61">
        <v>1.1000000000000001</v>
      </c>
      <c r="J6" s="62">
        <f>+H6*I6</f>
        <v>605000</v>
      </c>
      <c r="L6" s="63">
        <v>550000</v>
      </c>
      <c r="M6" s="63">
        <v>1.1299999999999999</v>
      </c>
      <c r="N6" s="63">
        <f>L6*M6</f>
        <v>621499.99999999988</v>
      </c>
    </row>
    <row r="7" spans="1:14" ht="15.75" thickTop="1" x14ac:dyDescent="0.25">
      <c r="H7" s="60"/>
      <c r="I7" s="61">
        <v>1.03</v>
      </c>
      <c r="J7" s="61">
        <f>+J6*1.03</f>
        <v>623150</v>
      </c>
    </row>
    <row r="8" spans="1:14" x14ac:dyDescent="0.25">
      <c r="H8" s="60"/>
      <c r="I8" s="60"/>
      <c r="J8" s="60"/>
      <c r="N8" s="9">
        <f>J7-N6</f>
        <v>1650.0000000001164</v>
      </c>
    </row>
    <row r="10" spans="1:14" x14ac:dyDescent="0.25">
      <c r="N10" s="2">
        <f>550000*0.1</f>
        <v>55000</v>
      </c>
    </row>
    <row r="11" spans="1:14" x14ac:dyDescent="0.25">
      <c r="N11" s="2">
        <f>+N10*0.03</f>
        <v>1650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workbookViewId="0">
      <selection activeCell="E22" sqref="E22"/>
    </sheetView>
  </sheetViews>
  <sheetFormatPr defaultRowHeight="15" x14ac:dyDescent="0.25"/>
  <cols>
    <col min="1" max="1" width="37.42578125" customWidth="1"/>
    <col min="2" max="2" width="14.85546875" bestFit="1" customWidth="1"/>
    <col min="3" max="3" width="14.28515625" customWidth="1"/>
    <col min="4" max="4" width="11.140625" customWidth="1"/>
    <col min="5" max="5" width="14.140625" customWidth="1"/>
    <col min="7" max="7" width="18" bestFit="1" customWidth="1"/>
    <col min="8" max="8" width="9.5703125" bestFit="1" customWidth="1"/>
    <col min="9" max="9" width="10.5703125" bestFit="1" customWidth="1"/>
  </cols>
  <sheetData>
    <row r="2" spans="1:9" x14ac:dyDescent="0.25">
      <c r="A2" s="8" t="s">
        <v>268</v>
      </c>
    </row>
    <row r="4" spans="1:9" x14ac:dyDescent="0.25">
      <c r="A4" t="s">
        <v>292</v>
      </c>
    </row>
    <row r="5" spans="1:9" x14ac:dyDescent="0.25">
      <c r="B5" s="64" t="s">
        <v>269</v>
      </c>
      <c r="C5" s="64" t="s">
        <v>239</v>
      </c>
      <c r="D5" s="64" t="s">
        <v>270</v>
      </c>
      <c r="E5" s="64" t="s">
        <v>174</v>
      </c>
    </row>
    <row r="6" spans="1:9" ht="17.25" x14ac:dyDescent="0.4">
      <c r="A6" t="s">
        <v>271</v>
      </c>
      <c r="B6" s="54">
        <v>60</v>
      </c>
      <c r="C6" s="54">
        <v>50</v>
      </c>
      <c r="D6" s="54">
        <v>50</v>
      </c>
      <c r="E6" s="54">
        <v>0</v>
      </c>
    </row>
    <row r="7" spans="1:9" x14ac:dyDescent="0.25">
      <c r="A7" t="s">
        <v>272</v>
      </c>
      <c r="B7">
        <v>163.53</v>
      </c>
      <c r="C7" s="9">
        <f>+C27</f>
        <v>69.131620908074098</v>
      </c>
      <c r="D7">
        <v>93.65</v>
      </c>
      <c r="E7" s="9">
        <f>D7-C7</f>
        <v>24.518379091925908</v>
      </c>
      <c r="F7" t="s">
        <v>191</v>
      </c>
    </row>
    <row r="8" spans="1:9" x14ac:dyDescent="0.25">
      <c r="A8" t="s">
        <v>290</v>
      </c>
      <c r="B8" s="2">
        <v>19620</v>
      </c>
      <c r="C8" s="2">
        <f>+C7*120</f>
        <v>8295.794508968891</v>
      </c>
      <c r="D8" s="2">
        <v>11460</v>
      </c>
      <c r="E8" s="42">
        <f>+D8-C8</f>
        <v>3164.205491031109</v>
      </c>
      <c r="F8" s="6" t="s">
        <v>191</v>
      </c>
      <c r="G8" t="s">
        <v>304</v>
      </c>
      <c r="H8" s="9">
        <f>+H32</f>
        <v>221.99999999999983</v>
      </c>
      <c r="I8" s="71" t="s">
        <v>191</v>
      </c>
    </row>
    <row r="9" spans="1:9" x14ac:dyDescent="0.25">
      <c r="C9" t="s">
        <v>291</v>
      </c>
      <c r="G9" t="s">
        <v>305</v>
      </c>
      <c r="H9" s="9">
        <f>+H36</f>
        <v>2942.205491031109</v>
      </c>
      <c r="I9" s="71" t="s">
        <v>191</v>
      </c>
    </row>
    <row r="10" spans="1:9" ht="15.75" thickBot="1" x14ac:dyDescent="0.3">
      <c r="H10" s="10">
        <f>SUM(H8:H9)</f>
        <v>3164.205491031109</v>
      </c>
      <c r="I10" s="72" t="s">
        <v>191</v>
      </c>
    </row>
    <row r="11" spans="1:9" ht="15.75" thickTop="1" x14ac:dyDescent="0.25"/>
    <row r="13" spans="1:9" x14ac:dyDescent="0.25">
      <c r="A13" s="8" t="s">
        <v>273</v>
      </c>
    </row>
    <row r="15" spans="1:9" x14ac:dyDescent="0.25">
      <c r="A15" s="8" t="s">
        <v>274</v>
      </c>
    </row>
    <row r="16" spans="1:9" x14ac:dyDescent="0.25">
      <c r="A16" t="s">
        <v>275</v>
      </c>
      <c r="B16" t="s">
        <v>276</v>
      </c>
      <c r="C16" s="66">
        <f>10*30^-0.5146</f>
        <v>1.7372943302837665</v>
      </c>
      <c r="D16" t="s">
        <v>282</v>
      </c>
    </row>
    <row r="17" spans="1:9" x14ac:dyDescent="0.25">
      <c r="A17" s="8" t="s">
        <v>277</v>
      </c>
      <c r="B17" t="s">
        <v>278</v>
      </c>
      <c r="C17" s="2">
        <f>+C16*30</f>
        <v>52.118829908512993</v>
      </c>
      <c r="D17" t="s">
        <v>279</v>
      </c>
    </row>
    <row r="19" spans="1:9" x14ac:dyDescent="0.25">
      <c r="A19" t="s">
        <v>280</v>
      </c>
      <c r="B19" t="s">
        <v>281</v>
      </c>
      <c r="C19" s="66">
        <f>10*29^-0.5146</f>
        <v>1.767868633052929</v>
      </c>
      <c r="D19" t="s">
        <v>282</v>
      </c>
    </row>
    <row r="20" spans="1:9" x14ac:dyDescent="0.25">
      <c r="A20" s="8" t="s">
        <v>283</v>
      </c>
      <c r="B20" t="s">
        <v>284</v>
      </c>
      <c r="C20" s="2">
        <f>+C19*29</f>
        <v>51.268190358534937</v>
      </c>
      <c r="D20" t="s">
        <v>279</v>
      </c>
    </row>
    <row r="22" spans="1:9" x14ac:dyDescent="0.25">
      <c r="A22" t="s">
        <v>285</v>
      </c>
      <c r="B22" t="s">
        <v>286</v>
      </c>
      <c r="C22" s="67">
        <f>C17-C20</f>
        <v>0.85063954997805524</v>
      </c>
      <c r="D22" t="s">
        <v>279</v>
      </c>
    </row>
    <row r="24" spans="1:9" x14ac:dyDescent="0.25">
      <c r="A24" s="17" t="s">
        <v>287</v>
      </c>
    </row>
    <row r="25" spans="1:9" x14ac:dyDescent="0.25">
      <c r="A25" t="s">
        <v>277</v>
      </c>
      <c r="C25" s="9">
        <f>+C17</f>
        <v>52.118829908512993</v>
      </c>
    </row>
    <row r="26" spans="1:9" x14ac:dyDescent="0.25">
      <c r="A26" t="s">
        <v>288</v>
      </c>
      <c r="B26" t="s">
        <v>289</v>
      </c>
      <c r="C26" s="2">
        <f>+C22*20</f>
        <v>17.012790999561105</v>
      </c>
    </row>
    <row r="27" spans="1:9" ht="15.75" thickBot="1" x14ac:dyDescent="0.3">
      <c r="C27" s="44">
        <f>SUM(C25:C26)</f>
        <v>69.131620908074098</v>
      </c>
    </row>
    <row r="28" spans="1:9" ht="15.75" thickTop="1" x14ac:dyDescent="0.25"/>
    <row r="29" spans="1:9" x14ac:dyDescent="0.25">
      <c r="A29" t="s">
        <v>293</v>
      </c>
    </row>
    <row r="31" spans="1:9" x14ac:dyDescent="0.25">
      <c r="A31" t="s">
        <v>294</v>
      </c>
      <c r="B31" s="7" t="s">
        <v>295</v>
      </c>
      <c r="C31" s="68" t="s">
        <v>296</v>
      </c>
      <c r="D31" t="s">
        <v>297</v>
      </c>
      <c r="E31" s="1" t="s">
        <v>298</v>
      </c>
      <c r="F31" t="s">
        <v>299</v>
      </c>
    </row>
    <row r="32" spans="1:9" ht="15.75" thickBot="1" x14ac:dyDescent="0.3">
      <c r="B32" s="2">
        <v>120</v>
      </c>
      <c r="C32" s="68" t="s">
        <v>296</v>
      </c>
      <c r="D32" s="2">
        <f>11460/93.65</f>
        <v>122.37052856380139</v>
      </c>
      <c r="E32" t="s">
        <v>298</v>
      </c>
      <c r="F32">
        <v>93.65</v>
      </c>
      <c r="G32" s="1" t="s">
        <v>4</v>
      </c>
      <c r="H32" s="59">
        <f>(D32-B32)*F32</f>
        <v>221.99999999999983</v>
      </c>
      <c r="I32" s="69" t="s">
        <v>191</v>
      </c>
    </row>
    <row r="33" spans="1:9" ht="15.75" thickTop="1" x14ac:dyDescent="0.25">
      <c r="C33" s="16"/>
      <c r="D33" t="s">
        <v>300</v>
      </c>
    </row>
    <row r="34" spans="1:9" x14ac:dyDescent="0.25">
      <c r="C34" s="16"/>
    </row>
    <row r="35" spans="1:9" x14ac:dyDescent="0.25">
      <c r="A35" t="s">
        <v>301</v>
      </c>
      <c r="B35" s="7" t="s">
        <v>302</v>
      </c>
      <c r="C35" s="68" t="s">
        <v>296</v>
      </c>
      <c r="D35" t="s">
        <v>303</v>
      </c>
      <c r="E35" s="1" t="s">
        <v>298</v>
      </c>
      <c r="F35" t="s">
        <v>295</v>
      </c>
    </row>
    <row r="36" spans="1:9" ht="15.75" thickBot="1" x14ac:dyDescent="0.3">
      <c r="B36" s="9">
        <f>+C7</f>
        <v>69.131620908074098</v>
      </c>
      <c r="C36" s="68" t="s">
        <v>296</v>
      </c>
      <c r="D36">
        <f>+D7</f>
        <v>93.65</v>
      </c>
      <c r="E36" s="1" t="s">
        <v>298</v>
      </c>
      <c r="F36" s="9">
        <f>+B32</f>
        <v>120</v>
      </c>
      <c r="G36" s="1" t="s">
        <v>4</v>
      </c>
      <c r="H36" s="70">
        <f>(D36-B36)*F36</f>
        <v>2942.205491031109</v>
      </c>
      <c r="I36" s="69" t="s">
        <v>191</v>
      </c>
    </row>
    <row r="37" spans="1:9" ht="15.75" thickTop="1" x14ac:dyDescent="0.25">
      <c r="C37" s="1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C22" sqref="C22"/>
    </sheetView>
  </sheetViews>
  <sheetFormatPr defaultRowHeight="15" x14ac:dyDescent="0.25"/>
  <cols>
    <col min="1" max="1" width="20.85546875" customWidth="1"/>
    <col min="2" max="2" width="16.42578125" customWidth="1"/>
    <col min="3" max="3" width="14.28515625" bestFit="1" customWidth="1"/>
    <col min="4" max="4" width="16.140625" bestFit="1" customWidth="1"/>
    <col min="5" max="5" width="11.7109375" bestFit="1" customWidth="1"/>
    <col min="6" max="6" width="10.5703125" bestFit="1" customWidth="1"/>
  </cols>
  <sheetData>
    <row r="2" spans="1:6" x14ac:dyDescent="0.25">
      <c r="A2" s="8" t="s">
        <v>306</v>
      </c>
    </row>
    <row r="3" spans="1:6" x14ac:dyDescent="0.25">
      <c r="B3" s="8">
        <v>2018</v>
      </c>
      <c r="C3" s="8">
        <v>2019</v>
      </c>
    </row>
    <row r="4" spans="1:6" x14ac:dyDescent="0.25">
      <c r="A4" s="8" t="s">
        <v>307</v>
      </c>
      <c r="B4" s="12" t="s">
        <v>252</v>
      </c>
      <c r="C4" s="12" t="s">
        <v>252</v>
      </c>
      <c r="D4" s="8" t="s">
        <v>311</v>
      </c>
      <c r="E4" s="8" t="s">
        <v>314</v>
      </c>
      <c r="F4" s="8" t="s">
        <v>150</v>
      </c>
    </row>
    <row r="5" spans="1:6" x14ac:dyDescent="0.25">
      <c r="A5" t="s">
        <v>308</v>
      </c>
      <c r="B5" s="2">
        <v>6000</v>
      </c>
      <c r="C5" s="2">
        <f>+B5*1.05</f>
        <v>6300</v>
      </c>
      <c r="D5" t="s">
        <v>312</v>
      </c>
      <c r="E5" s="2">
        <v>40000</v>
      </c>
      <c r="F5" s="2">
        <f>C5/E5*1000</f>
        <v>157.5</v>
      </c>
    </row>
    <row r="6" spans="1:6" x14ac:dyDescent="0.25">
      <c r="A6" t="s">
        <v>309</v>
      </c>
      <c r="B6" s="2">
        <v>6328</v>
      </c>
      <c r="C6" s="2">
        <f>+B6*1.12</f>
        <v>7087.3600000000006</v>
      </c>
      <c r="D6" t="s">
        <v>313</v>
      </c>
      <c r="E6" s="2">
        <v>1130</v>
      </c>
      <c r="F6" s="2">
        <f t="shared" ref="F6:F7" si="0">C6/E6*1000</f>
        <v>6272</v>
      </c>
    </row>
    <row r="7" spans="1:6" x14ac:dyDescent="0.25">
      <c r="A7" t="s">
        <v>310</v>
      </c>
      <c r="B7" s="2">
        <v>9000</v>
      </c>
      <c r="C7" s="2">
        <f>+B7*1.1</f>
        <v>9900</v>
      </c>
      <c r="D7" t="s">
        <v>315</v>
      </c>
      <c r="E7" s="2">
        <v>800</v>
      </c>
      <c r="F7" s="2">
        <f t="shared" si="0"/>
        <v>12375</v>
      </c>
    </row>
    <row r="9" spans="1:6" x14ac:dyDescent="0.25">
      <c r="A9" s="8" t="s">
        <v>316</v>
      </c>
    </row>
    <row r="10" spans="1:6" x14ac:dyDescent="0.25">
      <c r="B10" t="s">
        <v>317</v>
      </c>
    </row>
    <row r="11" spans="1:6" x14ac:dyDescent="0.25">
      <c r="A11" t="s">
        <v>308</v>
      </c>
      <c r="B11" s="2">
        <v>20000</v>
      </c>
      <c r="C11" s="2">
        <f>B11*F5/1000</f>
        <v>3150</v>
      </c>
    </row>
    <row r="12" spans="1:6" x14ac:dyDescent="0.25">
      <c r="A12" t="s">
        <v>309</v>
      </c>
      <c r="B12" s="2">
        <v>1000</v>
      </c>
      <c r="C12" s="2">
        <f t="shared" ref="C12:C13" si="1">B12*F6/1000</f>
        <v>6272</v>
      </c>
    </row>
    <row r="13" spans="1:6" x14ac:dyDescent="0.25">
      <c r="A13" t="s">
        <v>310</v>
      </c>
      <c r="B13" s="2">
        <v>600</v>
      </c>
      <c r="C13" s="2">
        <f t="shared" si="1"/>
        <v>7425</v>
      </c>
    </row>
    <row r="14" spans="1:6" ht="15.75" thickBot="1" x14ac:dyDescent="0.3">
      <c r="B14" s="2"/>
      <c r="C14" s="44">
        <f>SUM(C11:C13)</f>
        <v>16847</v>
      </c>
    </row>
    <row r="15" spans="1:6" ht="15.75" thickTop="1" x14ac:dyDescent="0.25"/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workbookViewId="0">
      <selection activeCell="F22" sqref="F22"/>
    </sheetView>
  </sheetViews>
  <sheetFormatPr defaultRowHeight="15" x14ac:dyDescent="0.25"/>
  <cols>
    <col min="1" max="1" width="41.28515625" customWidth="1"/>
    <col min="2" max="2" width="26.42578125" customWidth="1"/>
    <col min="3" max="3" width="14.140625" customWidth="1"/>
    <col min="4" max="4" width="17.7109375" customWidth="1"/>
    <col min="5" max="5" width="13.28515625" bestFit="1" customWidth="1"/>
    <col min="6" max="6" width="28.140625" customWidth="1"/>
    <col min="7" max="7" width="13.28515625" bestFit="1" customWidth="1"/>
    <col min="8" max="8" width="10.5703125" bestFit="1" customWidth="1"/>
    <col min="9" max="9" width="11.5703125" bestFit="1" customWidth="1"/>
  </cols>
  <sheetData>
    <row r="2" spans="1:8" x14ac:dyDescent="0.25">
      <c r="A2" s="8" t="s">
        <v>318</v>
      </c>
    </row>
    <row r="3" spans="1:8" ht="15.75" thickBot="1" x14ac:dyDescent="0.3">
      <c r="D3" s="2">
        <v>3000</v>
      </c>
      <c r="E3" s="2"/>
      <c r="F3" s="2"/>
      <c r="G3" s="2"/>
      <c r="H3" s="2">
        <v>11000</v>
      </c>
    </row>
    <row r="4" spans="1:8" ht="15.75" thickBot="1" x14ac:dyDescent="0.3">
      <c r="C4" s="101" t="s">
        <v>319</v>
      </c>
      <c r="D4" s="102"/>
      <c r="E4" s="101" t="s">
        <v>320</v>
      </c>
      <c r="F4" s="103"/>
      <c r="G4" s="103"/>
      <c r="H4" s="102"/>
    </row>
    <row r="5" spans="1:8" ht="15.75" thickBot="1" x14ac:dyDescent="0.3"/>
    <row r="6" spans="1:8" ht="15.75" thickBot="1" x14ac:dyDescent="0.3">
      <c r="C6" s="107" t="s">
        <v>321</v>
      </c>
      <c r="D6" s="108"/>
      <c r="E6" s="108"/>
      <c r="F6" s="109"/>
    </row>
    <row r="7" spans="1:8" ht="15.75" thickBot="1" x14ac:dyDescent="0.3">
      <c r="D7" s="2">
        <v>3000</v>
      </c>
      <c r="E7" s="2"/>
      <c r="F7" s="2">
        <v>2000</v>
      </c>
      <c r="G7" s="2"/>
      <c r="H7" s="2">
        <v>9000</v>
      </c>
    </row>
    <row r="8" spans="1:8" ht="15.75" thickBot="1" x14ac:dyDescent="0.3">
      <c r="C8" s="101" t="s">
        <v>319</v>
      </c>
      <c r="D8" s="102"/>
      <c r="E8" s="104" t="s">
        <v>320</v>
      </c>
      <c r="F8" s="105"/>
      <c r="G8" s="105"/>
      <c r="H8" s="106"/>
    </row>
    <row r="9" spans="1:8" x14ac:dyDescent="0.25">
      <c r="F9" t="s">
        <v>322</v>
      </c>
    </row>
    <row r="11" spans="1:8" x14ac:dyDescent="0.25">
      <c r="A11" t="s">
        <v>323</v>
      </c>
    </row>
    <row r="12" spans="1:8" x14ac:dyDescent="0.25">
      <c r="A12" s="73" t="s">
        <v>324</v>
      </c>
    </row>
    <row r="14" spans="1:8" x14ac:dyDescent="0.25">
      <c r="A14" t="s">
        <v>325</v>
      </c>
      <c r="B14" s="1" t="s">
        <v>4</v>
      </c>
      <c r="C14" t="s">
        <v>208</v>
      </c>
      <c r="D14" t="s">
        <v>326</v>
      </c>
      <c r="E14" s="65">
        <f>8*3000^-0.152</f>
        <v>2.3690136128351207</v>
      </c>
      <c r="F14" t="s">
        <v>327</v>
      </c>
    </row>
    <row r="15" spans="1:8" ht="15.75" thickBot="1" x14ac:dyDescent="0.3">
      <c r="A15" t="s">
        <v>328</v>
      </c>
      <c r="D15" t="s">
        <v>329</v>
      </c>
      <c r="E15" s="59">
        <f>+E14*3000</f>
        <v>7107.0408385053624</v>
      </c>
      <c r="F15" t="s">
        <v>279</v>
      </c>
    </row>
    <row r="16" spans="1:8" ht="15.75" thickTop="1" x14ac:dyDescent="0.25"/>
    <row r="17" spans="1:12" ht="15.75" thickBot="1" x14ac:dyDescent="0.3">
      <c r="A17" t="s">
        <v>330</v>
      </c>
      <c r="D17" t="s">
        <v>331</v>
      </c>
      <c r="E17" s="70">
        <f>E15*200</f>
        <v>1421408.1677010725</v>
      </c>
    </row>
    <row r="18" spans="1:12" ht="15.75" thickTop="1" x14ac:dyDescent="0.25"/>
    <row r="19" spans="1:12" x14ac:dyDescent="0.25">
      <c r="A19" t="s">
        <v>332</v>
      </c>
    </row>
    <row r="20" spans="1:12" x14ac:dyDescent="0.25">
      <c r="A20" s="73" t="s">
        <v>333</v>
      </c>
    </row>
    <row r="22" spans="1:12" x14ac:dyDescent="0.25">
      <c r="A22" t="s">
        <v>334</v>
      </c>
      <c r="B22" s="1" t="s">
        <v>4</v>
      </c>
      <c r="C22" t="s">
        <v>208</v>
      </c>
      <c r="D22" t="s">
        <v>337</v>
      </c>
      <c r="E22" s="66">
        <f>8*5000^-0.152</f>
        <v>2.1920302662463165</v>
      </c>
      <c r="F22" t="s">
        <v>327</v>
      </c>
    </row>
    <row r="23" spans="1:12" ht="15.75" thickBot="1" x14ac:dyDescent="0.3">
      <c r="A23" t="s">
        <v>335</v>
      </c>
      <c r="D23" t="s">
        <v>338</v>
      </c>
      <c r="E23" s="59">
        <f>+E22*5000</f>
        <v>10960.151331231582</v>
      </c>
      <c r="F23" t="s">
        <v>279</v>
      </c>
    </row>
    <row r="24" spans="1:12" ht="15.75" thickTop="1" x14ac:dyDescent="0.25"/>
    <row r="25" spans="1:12" ht="15.75" thickBot="1" x14ac:dyDescent="0.3">
      <c r="A25" t="s">
        <v>336</v>
      </c>
      <c r="D25" t="s">
        <v>339</v>
      </c>
      <c r="E25" s="70">
        <f>E23*200</f>
        <v>2192030.2662463165</v>
      </c>
    </row>
    <row r="26" spans="1:12" ht="15.75" thickTop="1" x14ac:dyDescent="0.25"/>
    <row r="28" spans="1:12" x14ac:dyDescent="0.25">
      <c r="A28" s="8" t="s">
        <v>340</v>
      </c>
    </row>
    <row r="29" spans="1:12" x14ac:dyDescent="0.25">
      <c r="I29" t="s">
        <v>367</v>
      </c>
    </row>
    <row r="30" spans="1:12" s="77" customFormat="1" x14ac:dyDescent="0.25">
      <c r="A30" s="77" t="s">
        <v>341</v>
      </c>
      <c r="B30" s="77" t="s">
        <v>342</v>
      </c>
      <c r="D30" s="78">
        <f>2.369*11000</f>
        <v>26059.000000000004</v>
      </c>
      <c r="E30" s="77" t="s">
        <v>279</v>
      </c>
      <c r="F30" s="77" t="s">
        <v>343</v>
      </c>
      <c r="G30" s="78">
        <v>21000</v>
      </c>
      <c r="H30" s="77" t="s">
        <v>279</v>
      </c>
      <c r="I30" s="79">
        <f>D30-G30</f>
        <v>5059.0000000000036</v>
      </c>
      <c r="J30" s="100" t="s">
        <v>347</v>
      </c>
      <c r="K30" s="100"/>
      <c r="L30" s="100"/>
    </row>
    <row r="31" spans="1:12" s="77" customFormat="1" x14ac:dyDescent="0.25">
      <c r="A31" s="77" t="s">
        <v>345</v>
      </c>
      <c r="B31" s="77" t="s">
        <v>344</v>
      </c>
      <c r="D31" s="78">
        <f>+D30*200</f>
        <v>5211800.0000000009</v>
      </c>
      <c r="F31" s="77" t="s">
        <v>346</v>
      </c>
      <c r="G31" s="78">
        <v>4305000</v>
      </c>
      <c r="I31" s="79">
        <f>D31-G31</f>
        <v>906800.00000000093</v>
      </c>
      <c r="J31" s="100"/>
      <c r="K31" s="100"/>
      <c r="L31" s="100"/>
    </row>
    <row r="33" spans="1:6" x14ac:dyDescent="0.25">
      <c r="A33" s="6" t="s">
        <v>349</v>
      </c>
    </row>
    <row r="34" spans="1:6" x14ac:dyDescent="0.25">
      <c r="A34" t="s">
        <v>348</v>
      </c>
      <c r="E34" s="9">
        <f>+E23</f>
        <v>10960.151331231582</v>
      </c>
    </row>
    <row r="35" spans="1:6" x14ac:dyDescent="0.25">
      <c r="A35" t="s">
        <v>350</v>
      </c>
      <c r="C35" t="s">
        <v>208</v>
      </c>
      <c r="D35" t="s">
        <v>351</v>
      </c>
      <c r="E35" s="66">
        <f>8*4999^-0.152</f>
        <v>2.1920969116441773</v>
      </c>
    </row>
    <row r="36" spans="1:6" x14ac:dyDescent="0.25">
      <c r="D36" t="s">
        <v>352</v>
      </c>
      <c r="E36" s="2">
        <f>+E35*4999</f>
        <v>10958.292461309242</v>
      </c>
    </row>
    <row r="37" spans="1:6" ht="15.75" thickBot="1" x14ac:dyDescent="0.3">
      <c r="A37" t="s">
        <v>353</v>
      </c>
      <c r="E37" s="74">
        <f>E34-E36</f>
        <v>1.8588699223400909</v>
      </c>
      <c r="F37" t="s">
        <v>279</v>
      </c>
    </row>
    <row r="38" spans="1:6" ht="15.75" thickTop="1" x14ac:dyDescent="0.25"/>
    <row r="39" spans="1:6" x14ac:dyDescent="0.25">
      <c r="A39" s="77" t="s">
        <v>354</v>
      </c>
      <c r="B39" s="77"/>
    </row>
    <row r="40" spans="1:6" x14ac:dyDescent="0.25">
      <c r="A40" s="77" t="s">
        <v>368</v>
      </c>
      <c r="B40" s="78">
        <v>14000</v>
      </c>
    </row>
    <row r="41" spans="1:6" x14ac:dyDescent="0.25">
      <c r="A41" s="77" t="s">
        <v>355</v>
      </c>
      <c r="B41" s="78">
        <v>-3000</v>
      </c>
    </row>
    <row r="42" spans="1:6" x14ac:dyDescent="0.25">
      <c r="A42" s="80" t="s">
        <v>356</v>
      </c>
      <c r="B42" s="81">
        <v>-2000</v>
      </c>
    </row>
    <row r="43" spans="1:6" x14ac:dyDescent="0.25">
      <c r="A43" s="80" t="s">
        <v>357</v>
      </c>
      <c r="B43" s="81">
        <f>SUM(B40:B42)</f>
        <v>9000</v>
      </c>
    </row>
    <row r="45" spans="1:6" x14ac:dyDescent="0.25">
      <c r="A45" t="s">
        <v>358</v>
      </c>
      <c r="B45" t="s">
        <v>359</v>
      </c>
      <c r="C45" t="s">
        <v>360</v>
      </c>
      <c r="D45" s="2">
        <f>+E23-E15</f>
        <v>3853.1104927262195</v>
      </c>
    </row>
    <row r="46" spans="1:6" x14ac:dyDescent="0.25">
      <c r="A46" t="s">
        <v>361</v>
      </c>
      <c r="B46" t="s">
        <v>362</v>
      </c>
      <c r="D46" s="2">
        <f>+E37*9000</f>
        <v>16729.829301060818</v>
      </c>
    </row>
    <row r="47" spans="1:6" ht="15.75" thickBot="1" x14ac:dyDescent="0.3">
      <c r="A47" s="6" t="s">
        <v>363</v>
      </c>
      <c r="B47" s="6"/>
      <c r="C47" s="6"/>
      <c r="D47" s="10">
        <f>SUM(D45:D46)</f>
        <v>20582.939793787038</v>
      </c>
    </row>
    <row r="48" spans="1:6" ht="15.75" thickTop="1" x14ac:dyDescent="0.25">
      <c r="A48" t="s">
        <v>364</v>
      </c>
      <c r="D48" s="9">
        <f>+G30</f>
        <v>21000</v>
      </c>
    </row>
    <row r="49" spans="1:5" x14ac:dyDescent="0.25">
      <c r="A49" t="s">
        <v>365</v>
      </c>
      <c r="D49" s="9">
        <f>+D48-D47</f>
        <v>417.06020621296193</v>
      </c>
    </row>
    <row r="50" spans="1:5" ht="15.75" thickBot="1" x14ac:dyDescent="0.3">
      <c r="A50" s="6" t="s">
        <v>376</v>
      </c>
      <c r="B50" s="6"/>
      <c r="C50" s="6" t="s">
        <v>366</v>
      </c>
      <c r="D50" s="75">
        <f>+D49*200</f>
        <v>83412.041242592386</v>
      </c>
    </row>
    <row r="51" spans="1:5" ht="15.75" thickTop="1" x14ac:dyDescent="0.25"/>
    <row r="52" spans="1:5" x14ac:dyDescent="0.25">
      <c r="A52" s="8" t="s">
        <v>369</v>
      </c>
    </row>
    <row r="54" spans="1:5" x14ac:dyDescent="0.25">
      <c r="B54" s="64" t="s">
        <v>370</v>
      </c>
      <c r="C54" s="64" t="s">
        <v>59</v>
      </c>
      <c r="D54" s="64" t="s">
        <v>174</v>
      </c>
    </row>
    <row r="55" spans="1:5" x14ac:dyDescent="0.25">
      <c r="A55" t="s">
        <v>371</v>
      </c>
      <c r="B55" s="76">
        <v>11000</v>
      </c>
      <c r="C55" s="76">
        <v>11000</v>
      </c>
      <c r="D55" s="2">
        <v>0</v>
      </c>
    </row>
    <row r="56" spans="1:5" x14ac:dyDescent="0.25">
      <c r="A56" t="s">
        <v>372</v>
      </c>
      <c r="B56" s="2">
        <f>2*11000*500</f>
        <v>11000000</v>
      </c>
      <c r="C56" s="2">
        <v>12705000</v>
      </c>
      <c r="D56" s="9">
        <f>+C56-B56</f>
        <v>1705000</v>
      </c>
      <c r="E56" t="s">
        <v>191</v>
      </c>
    </row>
    <row r="57" spans="1:5" x14ac:dyDescent="0.25">
      <c r="A57" t="s">
        <v>373</v>
      </c>
      <c r="B57" s="2">
        <f>+D47*200</f>
        <v>4116587.9587574075</v>
      </c>
      <c r="C57" s="2">
        <v>4305000</v>
      </c>
      <c r="D57" s="9">
        <f>+C57-B57</f>
        <v>188412.0412425925</v>
      </c>
      <c r="E57" t="s">
        <v>191</v>
      </c>
    </row>
    <row r="58" spans="1:5" x14ac:dyDescent="0.25">
      <c r="A58" t="s">
        <v>374</v>
      </c>
      <c r="B58" s="2">
        <f>11000*400</f>
        <v>4400000</v>
      </c>
      <c r="C58" s="2">
        <v>4180000</v>
      </c>
      <c r="D58" s="9">
        <f>+B58-C58</f>
        <v>220000</v>
      </c>
      <c r="E58" t="s">
        <v>190</v>
      </c>
    </row>
    <row r="59" spans="1:5" x14ac:dyDescent="0.25">
      <c r="A59" t="s">
        <v>375</v>
      </c>
      <c r="B59" s="2">
        <v>7000000</v>
      </c>
      <c r="C59" s="2">
        <v>7500000</v>
      </c>
      <c r="D59" s="9">
        <f>+C59-B59</f>
        <v>500000</v>
      </c>
      <c r="E59" t="s">
        <v>191</v>
      </c>
    </row>
    <row r="60" spans="1:5" ht="15.75" thickBot="1" x14ac:dyDescent="0.3">
      <c r="B60" s="44">
        <f>SUM(B56:B59)</f>
        <v>26516587.958757408</v>
      </c>
      <c r="C60" s="44">
        <f>SUM(C56:C59)</f>
        <v>28690000</v>
      </c>
      <c r="D60" s="44">
        <f>C60-B60</f>
        <v>2173412.041242592</v>
      </c>
      <c r="E60" t="s">
        <v>191</v>
      </c>
    </row>
    <row r="61" spans="1:5" ht="15.75" thickTop="1" x14ac:dyDescent="0.25"/>
  </sheetData>
  <mergeCells count="6">
    <mergeCell ref="J30:L31"/>
    <mergeCell ref="C4:D4"/>
    <mergeCell ref="E4:H4"/>
    <mergeCell ref="C8:D8"/>
    <mergeCell ref="E8:H8"/>
    <mergeCell ref="C6:F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workbookViewId="0">
      <selection activeCell="C20" sqref="C20"/>
    </sheetView>
  </sheetViews>
  <sheetFormatPr defaultRowHeight="15" x14ac:dyDescent="0.25"/>
  <cols>
    <col min="1" max="1" width="33.5703125" customWidth="1"/>
    <col min="3" max="3" width="14.85546875" customWidth="1"/>
    <col min="4" max="4" width="16.140625" customWidth="1"/>
    <col min="5" max="5" width="14.85546875" customWidth="1"/>
    <col min="6" max="6" width="15.28515625" customWidth="1"/>
    <col min="7" max="7" width="26.140625" customWidth="1"/>
    <col min="9" max="9" width="10.5703125" bestFit="1" customWidth="1"/>
  </cols>
  <sheetData>
    <row r="2" spans="1:10" x14ac:dyDescent="0.25">
      <c r="A2" s="8" t="s">
        <v>377</v>
      </c>
    </row>
    <row r="3" spans="1:10" x14ac:dyDescent="0.25">
      <c r="F3" t="s">
        <v>383</v>
      </c>
    </row>
    <row r="4" spans="1:10" x14ac:dyDescent="0.25">
      <c r="A4" s="8" t="s">
        <v>378</v>
      </c>
      <c r="F4" s="83">
        <f>380/400</f>
        <v>0.95</v>
      </c>
    </row>
    <row r="6" spans="1:10" ht="30" x14ac:dyDescent="0.25">
      <c r="A6" s="8" t="s">
        <v>379</v>
      </c>
      <c r="B6" s="8"/>
      <c r="C6" s="85" t="s">
        <v>380</v>
      </c>
      <c r="D6" s="85" t="s">
        <v>381</v>
      </c>
      <c r="E6" s="88" t="s">
        <v>382</v>
      </c>
      <c r="F6" s="85" t="s">
        <v>384</v>
      </c>
      <c r="G6" s="85" t="s">
        <v>385</v>
      </c>
    </row>
    <row r="7" spans="1:10" x14ac:dyDescent="0.25">
      <c r="A7" t="s">
        <v>386</v>
      </c>
      <c r="C7" s="9">
        <f>+C27</f>
        <v>4320</v>
      </c>
      <c r="D7" s="9">
        <f t="shared" ref="D7:G7" si="0">+D27</f>
        <v>1080</v>
      </c>
      <c r="E7" s="89">
        <f t="shared" si="0"/>
        <v>972</v>
      </c>
      <c r="F7" s="9">
        <f t="shared" si="0"/>
        <v>1026</v>
      </c>
      <c r="G7" s="65">
        <f t="shared" si="0"/>
        <v>1043.5</v>
      </c>
      <c r="I7" s="9">
        <f>E7-F7</f>
        <v>-54</v>
      </c>
      <c r="J7" s="9">
        <f>G7-F7</f>
        <v>17.5</v>
      </c>
    </row>
    <row r="8" spans="1:10" x14ac:dyDescent="0.25">
      <c r="E8" s="90"/>
      <c r="G8" s="65"/>
    </row>
    <row r="9" spans="1:10" x14ac:dyDescent="0.25">
      <c r="A9" s="8" t="s">
        <v>244</v>
      </c>
      <c r="E9" s="90"/>
      <c r="G9" s="65"/>
    </row>
    <row r="10" spans="1:10" x14ac:dyDescent="0.25">
      <c r="A10" t="s">
        <v>393</v>
      </c>
      <c r="B10" s="3">
        <v>0.7</v>
      </c>
      <c r="C10" s="2">
        <f>820*B10</f>
        <v>574</v>
      </c>
      <c r="D10" s="2">
        <f>C10/4</f>
        <v>143.5</v>
      </c>
      <c r="E10" s="91">
        <f>D10*0.9</f>
        <v>129.15</v>
      </c>
      <c r="F10" s="2">
        <f>E10/0.9*0.95</f>
        <v>136.32499999999999</v>
      </c>
      <c r="G10" s="65">
        <v>137.5</v>
      </c>
    </row>
    <row r="11" spans="1:10" x14ac:dyDescent="0.25">
      <c r="A11" t="s">
        <v>394</v>
      </c>
      <c r="B11" s="3">
        <v>0.2</v>
      </c>
      <c r="C11" s="2">
        <f>160*B11</f>
        <v>32</v>
      </c>
      <c r="D11" s="2">
        <f>+C11/4</f>
        <v>8</v>
      </c>
      <c r="E11" s="91">
        <f>+D11*0.9</f>
        <v>7.2</v>
      </c>
      <c r="F11" s="9">
        <f>E11/0.9*0.95</f>
        <v>7.6</v>
      </c>
      <c r="G11" s="65">
        <v>7.625</v>
      </c>
    </row>
    <row r="12" spans="1:10" x14ac:dyDescent="0.25">
      <c r="A12" t="s">
        <v>395</v>
      </c>
      <c r="B12" s="3">
        <v>1</v>
      </c>
      <c r="C12" s="2">
        <v>400</v>
      </c>
      <c r="D12" s="2">
        <f>+C12/4</f>
        <v>100</v>
      </c>
      <c r="E12" s="89">
        <f>D12*0.9</f>
        <v>90</v>
      </c>
      <c r="F12" s="9">
        <f>E12/0.9*0.95</f>
        <v>95</v>
      </c>
      <c r="G12" s="65">
        <v>96.9</v>
      </c>
    </row>
    <row r="13" spans="1:10" x14ac:dyDescent="0.25">
      <c r="A13" t="s">
        <v>396</v>
      </c>
      <c r="B13" s="3">
        <v>0.3</v>
      </c>
      <c r="C13" s="2">
        <f>1300*B13</f>
        <v>390</v>
      </c>
      <c r="D13" s="9">
        <f>C13/4</f>
        <v>97.5</v>
      </c>
      <c r="E13" s="89">
        <f>+D13*0.9</f>
        <v>87.75</v>
      </c>
      <c r="F13" s="9">
        <f>E13/0.9*0.95</f>
        <v>92.625</v>
      </c>
      <c r="G13" s="65">
        <v>92.625</v>
      </c>
    </row>
    <row r="14" spans="1:10" x14ac:dyDescent="0.25">
      <c r="A14" t="s">
        <v>397</v>
      </c>
      <c r="B14" s="3">
        <v>0.25</v>
      </c>
      <c r="C14" s="2">
        <f>500*B14</f>
        <v>125</v>
      </c>
      <c r="D14" s="9">
        <f>C14/4</f>
        <v>31.25</v>
      </c>
      <c r="E14" s="89">
        <f>D14*0.9</f>
        <v>28.125</v>
      </c>
      <c r="F14" s="9">
        <f>E14/0.9*0.95</f>
        <v>29.6875</v>
      </c>
      <c r="G14" s="65">
        <v>30</v>
      </c>
    </row>
    <row r="15" spans="1:10" x14ac:dyDescent="0.25">
      <c r="C15" s="87">
        <f>SUM(C10:C14)</f>
        <v>1521</v>
      </c>
      <c r="D15" s="87">
        <f t="shared" ref="D15:G15" si="1">SUM(D10:D14)</f>
        <v>380.25</v>
      </c>
      <c r="E15" s="92">
        <f t="shared" si="1"/>
        <v>342.22500000000002</v>
      </c>
      <c r="F15" s="87">
        <f t="shared" si="1"/>
        <v>361.23749999999995</v>
      </c>
      <c r="G15" s="86">
        <f t="shared" si="1"/>
        <v>364.65</v>
      </c>
      <c r="I15" s="9">
        <f>F15-E15</f>
        <v>19.012499999999932</v>
      </c>
      <c r="J15" s="9">
        <f>F15-G15</f>
        <v>-3.4125000000000227</v>
      </c>
    </row>
    <row r="16" spans="1:10" x14ac:dyDescent="0.25">
      <c r="A16" t="s">
        <v>245</v>
      </c>
      <c r="C16" s="9">
        <f>C7-C15</f>
        <v>2799</v>
      </c>
      <c r="D16" s="9">
        <f t="shared" ref="D16:G16" si="2">D7-D15</f>
        <v>699.75</v>
      </c>
      <c r="E16" s="89">
        <f t="shared" si="2"/>
        <v>629.77499999999998</v>
      </c>
      <c r="F16" s="9">
        <f t="shared" si="2"/>
        <v>664.76250000000005</v>
      </c>
      <c r="G16" s="9">
        <f t="shared" si="2"/>
        <v>678.85</v>
      </c>
    </row>
    <row r="17" spans="1:10" x14ac:dyDescent="0.25">
      <c r="E17" s="90"/>
      <c r="G17" s="65"/>
    </row>
    <row r="18" spans="1:10" x14ac:dyDescent="0.25">
      <c r="A18" s="8" t="s">
        <v>257</v>
      </c>
      <c r="E18" s="90"/>
      <c r="G18" s="65"/>
    </row>
    <row r="19" spans="1:10" x14ac:dyDescent="0.25">
      <c r="A19" t="s">
        <v>259</v>
      </c>
      <c r="B19" s="3">
        <v>1</v>
      </c>
      <c r="C19" s="2">
        <v>460</v>
      </c>
      <c r="D19" s="9">
        <f>C19/4</f>
        <v>115</v>
      </c>
      <c r="E19" s="89">
        <f>+D19</f>
        <v>115</v>
      </c>
      <c r="F19" s="9">
        <f>+E19</f>
        <v>115</v>
      </c>
      <c r="G19" s="65">
        <v>110</v>
      </c>
    </row>
    <row r="20" spans="1:10" x14ac:dyDescent="0.25">
      <c r="A20" t="s">
        <v>393</v>
      </c>
      <c r="B20" s="3">
        <v>0.3</v>
      </c>
      <c r="C20" s="2">
        <f>820*B20</f>
        <v>246</v>
      </c>
      <c r="D20" s="2">
        <f>+C20/4</f>
        <v>61.5</v>
      </c>
      <c r="E20" s="89">
        <f>+D20</f>
        <v>61.5</v>
      </c>
      <c r="F20" s="9">
        <f>+E20</f>
        <v>61.5</v>
      </c>
      <c r="G20" s="65">
        <v>62</v>
      </c>
    </row>
    <row r="21" spans="1:10" x14ac:dyDescent="0.25">
      <c r="A21" t="s">
        <v>394</v>
      </c>
      <c r="B21" s="3">
        <v>0.8</v>
      </c>
      <c r="C21" s="2">
        <f>160*B21</f>
        <v>128</v>
      </c>
      <c r="D21" s="2">
        <f>+C21/4</f>
        <v>32</v>
      </c>
      <c r="E21" s="89">
        <f>D21</f>
        <v>32</v>
      </c>
      <c r="F21" s="9">
        <f>E21</f>
        <v>32</v>
      </c>
      <c r="G21" s="65">
        <v>31</v>
      </c>
    </row>
    <row r="22" spans="1:10" x14ac:dyDescent="0.25">
      <c r="A22" t="s">
        <v>396</v>
      </c>
      <c r="B22" s="3">
        <v>0.7</v>
      </c>
      <c r="C22" s="2">
        <f>1300*B22</f>
        <v>909.99999999999989</v>
      </c>
      <c r="D22" s="9">
        <f>C22/4</f>
        <v>227.49999999999997</v>
      </c>
      <c r="E22" s="89">
        <f>+D22</f>
        <v>227.49999999999997</v>
      </c>
      <c r="F22" s="9">
        <f>E22</f>
        <v>227.49999999999997</v>
      </c>
      <c r="G22" s="65">
        <v>218</v>
      </c>
    </row>
    <row r="23" spans="1:10" x14ac:dyDescent="0.25">
      <c r="A23" t="s">
        <v>397</v>
      </c>
      <c r="B23" s="3">
        <v>0.75</v>
      </c>
      <c r="C23" s="2">
        <f>500*B23</f>
        <v>375</v>
      </c>
      <c r="D23" s="9">
        <f>C23/4</f>
        <v>93.75</v>
      </c>
      <c r="E23" s="89">
        <f>D23</f>
        <v>93.75</v>
      </c>
      <c r="F23" s="9">
        <f>E23</f>
        <v>93.75</v>
      </c>
      <c r="G23" s="65">
        <v>90</v>
      </c>
    </row>
    <row r="24" spans="1:10" x14ac:dyDescent="0.25">
      <c r="C24" s="87">
        <f t="shared" ref="C24:G24" si="3">SUM(C19:C23)</f>
        <v>2119</v>
      </c>
      <c r="D24" s="87">
        <f t="shared" si="3"/>
        <v>529.75</v>
      </c>
      <c r="E24" s="92">
        <f t="shared" si="3"/>
        <v>529.75</v>
      </c>
      <c r="F24" s="87">
        <f t="shared" si="3"/>
        <v>529.75</v>
      </c>
      <c r="G24" s="86">
        <f t="shared" si="3"/>
        <v>511</v>
      </c>
      <c r="J24" s="9">
        <f>F24-G24</f>
        <v>18.75</v>
      </c>
    </row>
    <row r="25" spans="1:10" ht="15.75" thickBot="1" x14ac:dyDescent="0.3">
      <c r="A25" s="8" t="s">
        <v>247</v>
      </c>
      <c r="B25" s="8"/>
      <c r="C25" s="13">
        <f>C16-C24</f>
        <v>680</v>
      </c>
      <c r="D25" s="13">
        <f t="shared" ref="D25:G25" si="4">D16-D24</f>
        <v>170</v>
      </c>
      <c r="E25" s="93">
        <f t="shared" si="4"/>
        <v>100.02499999999998</v>
      </c>
      <c r="F25" s="13">
        <f t="shared" si="4"/>
        <v>135.01250000000005</v>
      </c>
      <c r="G25" s="13">
        <f t="shared" si="4"/>
        <v>167.85000000000002</v>
      </c>
    </row>
    <row r="26" spans="1:10" ht="15.75" thickTop="1" x14ac:dyDescent="0.25"/>
    <row r="27" spans="1:10" x14ac:dyDescent="0.25">
      <c r="A27" t="s">
        <v>387</v>
      </c>
      <c r="C27" s="2">
        <f>400*360*30000/1000000</f>
        <v>4320</v>
      </c>
      <c r="D27" s="2">
        <f>400*90*30000/1000000</f>
        <v>1080</v>
      </c>
      <c r="E27" s="2">
        <f>400*0.9*90*30000/1000000</f>
        <v>972</v>
      </c>
      <c r="F27" s="2">
        <f>400*0.95*90*30000/1000000</f>
        <v>1026</v>
      </c>
      <c r="G27" s="84">
        <f>((3500*35000)+((380*90)-3500)*30000)/1000000</f>
        <v>1043.5</v>
      </c>
    </row>
    <row r="28" spans="1:10" ht="45" x14ac:dyDescent="0.25">
      <c r="C28" s="82" t="s">
        <v>388</v>
      </c>
      <c r="D28" s="82" t="s">
        <v>389</v>
      </c>
      <c r="E28" s="82" t="s">
        <v>390</v>
      </c>
      <c r="F28" s="82" t="s">
        <v>391</v>
      </c>
      <c r="G28" s="82" t="s">
        <v>392</v>
      </c>
      <c r="I28" s="2">
        <f>380*90</f>
        <v>34200</v>
      </c>
    </row>
    <row r="32" spans="1:10" x14ac:dyDescent="0.25">
      <c r="A32" s="8" t="s">
        <v>398</v>
      </c>
    </row>
    <row r="33" spans="1:6" x14ac:dyDescent="0.25">
      <c r="A33" s="8" t="s">
        <v>399</v>
      </c>
      <c r="B33" s="8"/>
      <c r="C33" s="8"/>
      <c r="D33" s="94">
        <f>+E25</f>
        <v>100.02499999999998</v>
      </c>
      <c r="F33">
        <f>100.03+54-19.01</f>
        <v>135.02000000000001</v>
      </c>
    </row>
    <row r="34" spans="1:6" x14ac:dyDescent="0.25">
      <c r="A34" t="s">
        <v>401</v>
      </c>
      <c r="D34" s="7" t="s">
        <v>403</v>
      </c>
    </row>
    <row r="35" spans="1:6" x14ac:dyDescent="0.25">
      <c r="A35" t="s">
        <v>402</v>
      </c>
      <c r="D35" s="95" t="s">
        <v>404</v>
      </c>
    </row>
    <row r="36" spans="1:6" x14ac:dyDescent="0.25">
      <c r="A36" s="8" t="s">
        <v>400</v>
      </c>
      <c r="B36" s="8"/>
      <c r="C36" s="8"/>
      <c r="D36" s="94">
        <f>+F25</f>
        <v>135.01250000000005</v>
      </c>
      <c r="F36">
        <f>135.01+17.5-3.41+18.75</f>
        <v>167.85</v>
      </c>
    </row>
    <row r="37" spans="1:6" x14ac:dyDescent="0.25">
      <c r="A37" s="25" t="s">
        <v>401</v>
      </c>
      <c r="D37" s="7" t="s">
        <v>406</v>
      </c>
    </row>
    <row r="38" spans="1:6" x14ac:dyDescent="0.25">
      <c r="A38" t="s">
        <v>402</v>
      </c>
      <c r="D38" s="7" t="s">
        <v>407</v>
      </c>
    </row>
    <row r="39" spans="1:6" x14ac:dyDescent="0.25">
      <c r="A39" t="s">
        <v>408</v>
      </c>
      <c r="D39" s="7" t="s">
        <v>409</v>
      </c>
    </row>
    <row r="40" spans="1:6" ht="15.75" thickBot="1" x14ac:dyDescent="0.3">
      <c r="A40" s="8" t="s">
        <v>405</v>
      </c>
      <c r="B40" s="8"/>
      <c r="C40" s="8"/>
      <c r="D40" s="13">
        <f>+G25</f>
        <v>167.85000000000002</v>
      </c>
    </row>
    <row r="41" spans="1:6" ht="15.75" thickTop="1" x14ac:dyDescent="0.25"/>
    <row r="43" spans="1:6" x14ac:dyDescent="0.25">
      <c r="A43" t="s">
        <v>410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B22" sqref="B22"/>
    </sheetView>
  </sheetViews>
  <sheetFormatPr defaultRowHeight="15" x14ac:dyDescent="0.25"/>
  <cols>
    <col min="2" max="2" width="32.42578125" bestFit="1" customWidth="1"/>
    <col min="4" max="4" width="16.7109375" bestFit="1" customWidth="1"/>
    <col min="5" max="5" width="10.5703125" bestFit="1" customWidth="1"/>
  </cols>
  <sheetData>
    <row r="2" spans="1:6" x14ac:dyDescent="0.25">
      <c r="A2" s="8" t="s">
        <v>41</v>
      </c>
    </row>
    <row r="4" spans="1:6" x14ac:dyDescent="0.25">
      <c r="A4" t="s">
        <v>42</v>
      </c>
      <c r="B4" t="s">
        <v>43</v>
      </c>
      <c r="C4" s="1" t="s">
        <v>4</v>
      </c>
      <c r="D4" t="s">
        <v>44</v>
      </c>
      <c r="E4" s="2">
        <f>20000/1000</f>
        <v>20</v>
      </c>
    </row>
    <row r="6" spans="1:6" x14ac:dyDescent="0.25">
      <c r="B6" t="s">
        <v>45</v>
      </c>
      <c r="C6" s="1" t="s">
        <v>4</v>
      </c>
      <c r="E6" s="2">
        <v>1200</v>
      </c>
    </row>
    <row r="8" spans="1:6" x14ac:dyDescent="0.25">
      <c r="B8" t="s">
        <v>46</v>
      </c>
      <c r="C8" s="1" t="s">
        <v>4</v>
      </c>
      <c r="D8" t="s">
        <v>47</v>
      </c>
      <c r="E8" s="2">
        <f>E4*E6</f>
        <v>24000</v>
      </c>
    </row>
    <row r="9" spans="1:6" x14ac:dyDescent="0.25">
      <c r="B9" t="s">
        <v>48</v>
      </c>
      <c r="C9" s="1" t="s">
        <v>4</v>
      </c>
      <c r="E9" s="2">
        <v>23000</v>
      </c>
    </row>
    <row r="10" spans="1:6" ht="15.75" thickBot="1" x14ac:dyDescent="0.3">
      <c r="B10" s="6" t="s">
        <v>49</v>
      </c>
      <c r="C10" s="6"/>
      <c r="D10" s="6"/>
      <c r="E10" s="10">
        <f>E8-E9</f>
        <v>1000</v>
      </c>
      <c r="F10" t="s">
        <v>54</v>
      </c>
    </row>
    <row r="11" spans="1:6" ht="15.75" thickTop="1" x14ac:dyDescent="0.25"/>
    <row r="13" spans="1:6" x14ac:dyDescent="0.25">
      <c r="A13" t="s">
        <v>50</v>
      </c>
      <c r="B13" t="s">
        <v>43</v>
      </c>
      <c r="C13" s="1" t="s">
        <v>4</v>
      </c>
      <c r="D13" t="s">
        <v>51</v>
      </c>
      <c r="E13" s="2">
        <f>10000/1000</f>
        <v>10</v>
      </c>
    </row>
    <row r="15" spans="1:6" x14ac:dyDescent="0.25">
      <c r="B15" t="s">
        <v>45</v>
      </c>
      <c r="C15" s="1" t="s">
        <v>4</v>
      </c>
      <c r="E15" s="2">
        <v>1200</v>
      </c>
    </row>
    <row r="17" spans="2:6" x14ac:dyDescent="0.25">
      <c r="B17" t="s">
        <v>46</v>
      </c>
      <c r="C17" s="1" t="s">
        <v>4</v>
      </c>
      <c r="D17" t="s">
        <v>52</v>
      </c>
      <c r="E17" s="2">
        <f>(E13*E15)+10000</f>
        <v>22000</v>
      </c>
    </row>
    <row r="18" spans="2:6" x14ac:dyDescent="0.25">
      <c r="B18" t="s">
        <v>48</v>
      </c>
      <c r="C18" s="1" t="s">
        <v>4</v>
      </c>
      <c r="E18" s="2">
        <v>23000</v>
      </c>
    </row>
    <row r="19" spans="2:6" ht="15.75" thickBot="1" x14ac:dyDescent="0.3">
      <c r="B19" s="6" t="s">
        <v>53</v>
      </c>
      <c r="C19" s="6"/>
      <c r="D19" s="6"/>
      <c r="E19" s="10">
        <f>E17-E18</f>
        <v>-1000</v>
      </c>
      <c r="F19" t="s">
        <v>55</v>
      </c>
    </row>
    <row r="20" spans="2:6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/>
  </sheetViews>
  <sheetFormatPr defaultRowHeight="15" x14ac:dyDescent="0.25"/>
  <cols>
    <col min="1" max="1" width="31.140625" customWidth="1"/>
    <col min="2" max="2" width="43.7109375" bestFit="1" customWidth="1"/>
    <col min="3" max="3" width="18.42578125" customWidth="1"/>
    <col min="4" max="4" width="11.42578125" customWidth="1"/>
    <col min="5" max="5" width="20.28515625" customWidth="1"/>
  </cols>
  <sheetData>
    <row r="2" spans="1:5" x14ac:dyDescent="0.25">
      <c r="A2" s="8" t="s">
        <v>56</v>
      </c>
      <c r="B2" s="11" t="s">
        <v>58</v>
      </c>
    </row>
    <row r="5" spans="1:5" x14ac:dyDescent="0.25">
      <c r="A5" s="8" t="s">
        <v>57</v>
      </c>
      <c r="C5" s="12" t="s">
        <v>0</v>
      </c>
      <c r="D5" s="8"/>
      <c r="E5" s="8" t="s">
        <v>59</v>
      </c>
    </row>
    <row r="6" spans="1:5" x14ac:dyDescent="0.25">
      <c r="A6" t="s">
        <v>60</v>
      </c>
      <c r="C6" s="2">
        <v>23750</v>
      </c>
      <c r="E6" s="2">
        <v>23750</v>
      </c>
    </row>
    <row r="8" spans="1:5" x14ac:dyDescent="0.25">
      <c r="A8" t="s">
        <v>61</v>
      </c>
      <c r="B8" t="s">
        <v>62</v>
      </c>
      <c r="C8" s="2">
        <f>100000*60</f>
        <v>6000000</v>
      </c>
      <c r="D8" t="s">
        <v>75</v>
      </c>
      <c r="E8" s="2">
        <f>105000*60</f>
        <v>6300000</v>
      </c>
    </row>
    <row r="9" spans="1:5" x14ac:dyDescent="0.25">
      <c r="A9" t="s">
        <v>63</v>
      </c>
      <c r="B9" t="s">
        <v>64</v>
      </c>
      <c r="C9" s="2">
        <f>37000*150</f>
        <v>5550000</v>
      </c>
      <c r="D9" t="s">
        <v>76</v>
      </c>
      <c r="E9" s="2">
        <f>34500*150</f>
        <v>5175000</v>
      </c>
    </row>
    <row r="10" spans="1:5" x14ac:dyDescent="0.25">
      <c r="A10" t="s">
        <v>65</v>
      </c>
      <c r="B10" t="s">
        <v>66</v>
      </c>
      <c r="C10" s="2">
        <f>1440000/20000*23750</f>
        <v>1710000</v>
      </c>
      <c r="E10" s="2">
        <v>1500000</v>
      </c>
    </row>
    <row r="11" spans="1:5" x14ac:dyDescent="0.25">
      <c r="A11" t="s">
        <v>67</v>
      </c>
      <c r="B11" t="s">
        <v>68</v>
      </c>
      <c r="C11" s="2">
        <f>(200000*0.7/20*23.75)+(200000*0.3)</f>
        <v>226250</v>
      </c>
      <c r="E11" s="2">
        <v>87500</v>
      </c>
    </row>
    <row r="12" spans="1:5" x14ac:dyDescent="0.25">
      <c r="A12" t="s">
        <v>69</v>
      </c>
      <c r="B12" t="s">
        <v>70</v>
      </c>
      <c r="C12" s="2">
        <f>(80000*0.35/20*23.75)+(80000*0.65)</f>
        <v>85250</v>
      </c>
      <c r="E12" s="2">
        <v>142000</v>
      </c>
    </row>
    <row r="13" spans="1:5" x14ac:dyDescent="0.25">
      <c r="A13" t="s">
        <v>71</v>
      </c>
      <c r="B13" t="s">
        <v>72</v>
      </c>
      <c r="C13" s="2">
        <f>(1200000*0.3/20*23.75)+(1200000*0.7)</f>
        <v>1267500</v>
      </c>
      <c r="E13" s="2">
        <v>1050000</v>
      </c>
    </row>
    <row r="14" spans="1:5" x14ac:dyDescent="0.25">
      <c r="A14" t="s">
        <v>73</v>
      </c>
      <c r="C14" s="2">
        <v>80000</v>
      </c>
      <c r="E14" s="2">
        <v>80000</v>
      </c>
    </row>
    <row r="15" spans="1:5" ht="15.75" thickBot="1" x14ac:dyDescent="0.3">
      <c r="A15" s="8" t="s">
        <v>74</v>
      </c>
      <c r="C15" s="13">
        <f>SUM(C8:C14)</f>
        <v>14919000</v>
      </c>
      <c r="E15" s="13">
        <f>SUM(E8:E14)</f>
        <v>14334500</v>
      </c>
    </row>
    <row r="16" spans="1:5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A22" sqref="A22"/>
    </sheetView>
  </sheetViews>
  <sheetFormatPr defaultRowHeight="15" x14ac:dyDescent="0.25"/>
  <cols>
    <col min="1" max="1" width="31.28515625" bestFit="1" customWidth="1"/>
    <col min="2" max="2" width="14.85546875" bestFit="1" customWidth="1"/>
    <col min="3" max="3" width="11.5703125" bestFit="1" customWidth="1"/>
  </cols>
  <sheetData>
    <row r="2" spans="1:3" x14ac:dyDescent="0.25">
      <c r="A2" s="8" t="s">
        <v>77</v>
      </c>
    </row>
    <row r="4" spans="1:3" x14ac:dyDescent="0.25">
      <c r="A4" s="8" t="s">
        <v>78</v>
      </c>
    </row>
    <row r="6" spans="1:3" x14ac:dyDescent="0.25">
      <c r="A6" t="s">
        <v>79</v>
      </c>
      <c r="B6" t="s">
        <v>80</v>
      </c>
      <c r="C6" s="2">
        <f>672000*0.75</f>
        <v>504000</v>
      </c>
    </row>
    <row r="7" spans="1:3" x14ac:dyDescent="0.25">
      <c r="A7" t="s">
        <v>81</v>
      </c>
      <c r="B7" t="s">
        <v>82</v>
      </c>
      <c r="C7" s="9">
        <f>C6*0.4</f>
        <v>201600</v>
      </c>
    </row>
    <row r="8" spans="1:3" x14ac:dyDescent="0.25">
      <c r="A8" t="s">
        <v>83</v>
      </c>
      <c r="B8" t="s">
        <v>84</v>
      </c>
      <c r="C8" s="2">
        <f>+C7/350</f>
        <v>576</v>
      </c>
    </row>
    <row r="10" spans="1:3" x14ac:dyDescent="0.25">
      <c r="A10" s="8" t="s">
        <v>85</v>
      </c>
    </row>
    <row r="11" spans="1:3" x14ac:dyDescent="0.25">
      <c r="A11" t="s">
        <v>90</v>
      </c>
      <c r="B11" t="s">
        <v>86</v>
      </c>
      <c r="C11" s="9">
        <f>C8*1.04</f>
        <v>599.04</v>
      </c>
    </row>
    <row r="12" spans="1:3" x14ac:dyDescent="0.25">
      <c r="A12" t="s">
        <v>87</v>
      </c>
      <c r="B12" t="s">
        <v>88</v>
      </c>
      <c r="C12" s="2">
        <f>+C11*340</f>
        <v>203673.59999999998</v>
      </c>
    </row>
    <row r="13" spans="1:3" ht="15.75" thickBot="1" x14ac:dyDescent="0.3">
      <c r="A13" s="11" t="s">
        <v>89</v>
      </c>
      <c r="B13" s="8"/>
      <c r="C13" s="14">
        <v>203700</v>
      </c>
    </row>
    <row r="14" spans="1:3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B22" sqref="B22"/>
    </sheetView>
  </sheetViews>
  <sheetFormatPr defaultRowHeight="15" x14ac:dyDescent="0.25"/>
  <cols>
    <col min="1" max="1" width="24.5703125" customWidth="1"/>
    <col min="2" max="2" width="44.140625" customWidth="1"/>
    <col min="3" max="3" width="14.28515625" bestFit="1" customWidth="1"/>
    <col min="4" max="4" width="15" bestFit="1" customWidth="1"/>
  </cols>
  <sheetData>
    <row r="2" spans="1:8" x14ac:dyDescent="0.25">
      <c r="A2" s="8" t="s">
        <v>91</v>
      </c>
    </row>
    <row r="3" spans="1:8" x14ac:dyDescent="0.25">
      <c r="C3" t="s">
        <v>92</v>
      </c>
    </row>
    <row r="4" spans="1:8" x14ac:dyDescent="0.25">
      <c r="C4" t="s">
        <v>96</v>
      </c>
      <c r="D4" t="s">
        <v>97</v>
      </c>
      <c r="E4" t="s">
        <v>102</v>
      </c>
    </row>
    <row r="5" spans="1:8" x14ac:dyDescent="0.25">
      <c r="A5" t="s">
        <v>93</v>
      </c>
      <c r="B5" s="3">
        <v>0.4</v>
      </c>
      <c r="C5" s="19">
        <v>40</v>
      </c>
      <c r="D5" s="19" t="s">
        <v>98</v>
      </c>
      <c r="E5" s="96">
        <v>0.04</v>
      </c>
      <c r="H5" s="4">
        <f>240/400</f>
        <v>0.6</v>
      </c>
    </row>
    <row r="6" spans="1:8" x14ac:dyDescent="0.25">
      <c r="A6" t="s">
        <v>94</v>
      </c>
      <c r="B6" s="3">
        <v>0.2</v>
      </c>
      <c r="C6" s="19" t="s">
        <v>98</v>
      </c>
      <c r="D6" s="15" t="s">
        <v>100</v>
      </c>
      <c r="E6" s="97"/>
    </row>
    <row r="7" spans="1:8" x14ac:dyDescent="0.25">
      <c r="A7" t="s">
        <v>95</v>
      </c>
      <c r="B7" s="3">
        <v>0.4</v>
      </c>
      <c r="C7" s="19" t="s">
        <v>99</v>
      </c>
      <c r="D7" s="15" t="s">
        <v>101</v>
      </c>
      <c r="E7" s="97"/>
    </row>
    <row r="8" spans="1:8" x14ac:dyDescent="0.25">
      <c r="B8" s="2">
        <v>2090400</v>
      </c>
      <c r="C8" s="3">
        <v>0.25</v>
      </c>
      <c r="D8" s="3">
        <v>0.75</v>
      </c>
    </row>
    <row r="11" spans="1:8" x14ac:dyDescent="0.25">
      <c r="A11" s="17" t="s">
        <v>103</v>
      </c>
    </row>
    <row r="13" spans="1:8" x14ac:dyDescent="0.25">
      <c r="A13" s="17" t="s">
        <v>126</v>
      </c>
      <c r="C13" s="20" t="s">
        <v>109</v>
      </c>
      <c r="D13" s="20" t="s">
        <v>109</v>
      </c>
    </row>
    <row r="14" spans="1:8" x14ac:dyDescent="0.25">
      <c r="A14" t="s">
        <v>104</v>
      </c>
      <c r="B14" t="s">
        <v>105</v>
      </c>
    </row>
    <row r="15" spans="1:8" x14ac:dyDescent="0.25">
      <c r="A15" s="18" t="s">
        <v>93</v>
      </c>
      <c r="B15" t="s">
        <v>106</v>
      </c>
      <c r="C15" s="2">
        <f>(2090400*25%*40%)*(40*1.04)</f>
        <v>8696064</v>
      </c>
    </row>
    <row r="16" spans="1:8" x14ac:dyDescent="0.25">
      <c r="A16" s="18" t="s">
        <v>94</v>
      </c>
      <c r="B16" t="s">
        <v>107</v>
      </c>
      <c r="C16" s="2">
        <f>(2090400*25%*20%)*(40*1.04*75%)</f>
        <v>3261024.0000000005</v>
      </c>
    </row>
    <row r="17" spans="1:4" x14ac:dyDescent="0.25">
      <c r="A17" s="18" t="s">
        <v>95</v>
      </c>
      <c r="B17" t="s">
        <v>108</v>
      </c>
      <c r="C17" s="2">
        <f>(2090400*25%*40%)*(40*1.04*50%)</f>
        <v>4348032</v>
      </c>
      <c r="D17" s="9">
        <f>SUM(C15:C17)</f>
        <v>16305120</v>
      </c>
    </row>
    <row r="19" spans="1:4" x14ac:dyDescent="0.25">
      <c r="A19" t="s">
        <v>110</v>
      </c>
      <c r="B19" t="s">
        <v>105</v>
      </c>
    </row>
    <row r="20" spans="1:4" x14ac:dyDescent="0.25">
      <c r="A20" s="18" t="s">
        <v>93</v>
      </c>
      <c r="B20" t="s">
        <v>111</v>
      </c>
      <c r="C20" s="2">
        <f>(2090400*75%*40%/2)*(40*1.04*75%*2)</f>
        <v>19566144</v>
      </c>
    </row>
    <row r="21" spans="1:4" x14ac:dyDescent="0.25">
      <c r="A21" s="18" t="s">
        <v>94</v>
      </c>
      <c r="B21" t="s">
        <v>112</v>
      </c>
      <c r="C21" s="2">
        <f>(2090400*75%*20%/2)*(40*1.04*75%*75%*2)</f>
        <v>7337304.0000000009</v>
      </c>
    </row>
    <row r="22" spans="1:4" x14ac:dyDescent="0.25">
      <c r="A22" s="18" t="s">
        <v>95</v>
      </c>
      <c r="B22" t="s">
        <v>113</v>
      </c>
      <c r="C22" s="2">
        <f>(2090400*75%*40%/2)*(40*1.04*50%*75%*2)</f>
        <v>9783072</v>
      </c>
      <c r="D22" s="9">
        <f>SUM(C20:C22)</f>
        <v>36686520</v>
      </c>
    </row>
    <row r="24" spans="1:4" x14ac:dyDescent="0.25">
      <c r="A24" s="18" t="s">
        <v>114</v>
      </c>
      <c r="B24" t="s">
        <v>115</v>
      </c>
      <c r="D24" s="2">
        <f>54000*8+36000*12+18000*10</f>
        <v>1044000</v>
      </c>
    </row>
    <row r="25" spans="1:4" x14ac:dyDescent="0.25">
      <c r="D25" s="24"/>
    </row>
    <row r="26" spans="1:4" x14ac:dyDescent="0.25">
      <c r="A26" s="22" t="s">
        <v>116</v>
      </c>
      <c r="B26" s="11"/>
      <c r="C26" s="11"/>
      <c r="D26" s="23">
        <f>SUM(D15:D25)</f>
        <v>54035640</v>
      </c>
    </row>
    <row r="28" spans="1:4" x14ac:dyDescent="0.25">
      <c r="A28" t="s">
        <v>117</v>
      </c>
      <c r="C28" t="s">
        <v>118</v>
      </c>
      <c r="D28" s="2">
        <f>-37600000*1.04</f>
        <v>-39104000</v>
      </c>
    </row>
    <row r="30" spans="1:4" ht="15.75" thickBot="1" x14ac:dyDescent="0.3">
      <c r="A30" s="11" t="s">
        <v>119</v>
      </c>
      <c r="B30" s="11"/>
      <c r="C30" s="11"/>
      <c r="D30" s="26">
        <f>SUM(D26:D28)</f>
        <v>14931640</v>
      </c>
    </row>
    <row r="31" spans="1:4" ht="15.75" thickTop="1" x14ac:dyDescent="0.25"/>
    <row r="32" spans="1:4" x14ac:dyDescent="0.25">
      <c r="A32" t="s">
        <v>120</v>
      </c>
      <c r="B32" t="s">
        <v>121</v>
      </c>
      <c r="C32" s="2">
        <f>240*365*100*1.04</f>
        <v>9110400</v>
      </c>
    </row>
    <row r="33" spans="1:4" x14ac:dyDescent="0.25">
      <c r="A33" t="s">
        <v>122</v>
      </c>
      <c r="B33" t="s">
        <v>123</v>
      </c>
      <c r="C33" s="27">
        <f>-7950000*1.04</f>
        <v>-8268000</v>
      </c>
    </row>
    <row r="34" spans="1:4" ht="15.75" thickBot="1" x14ac:dyDescent="0.3">
      <c r="A34" s="11" t="s">
        <v>124</v>
      </c>
      <c r="B34" s="11"/>
      <c r="C34" s="11"/>
      <c r="D34" s="26">
        <f>SUM(C32:C33)</f>
        <v>842400</v>
      </c>
    </row>
    <row r="35" spans="1:4" ht="15.75" thickTop="1" x14ac:dyDescent="0.25"/>
    <row r="36" spans="1:4" ht="15.75" thickBot="1" x14ac:dyDescent="0.3">
      <c r="A36" s="11" t="s">
        <v>125</v>
      </c>
      <c r="B36" s="11"/>
      <c r="C36" s="11"/>
      <c r="D36" s="26">
        <f>+D30+D34</f>
        <v>15774040</v>
      </c>
    </row>
    <row r="37" spans="1:4" ht="15.75" thickTop="1" x14ac:dyDescent="0.25"/>
  </sheetData>
  <mergeCells count="1">
    <mergeCell ref="E5:E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21" sqref="B21"/>
    </sheetView>
  </sheetViews>
  <sheetFormatPr defaultRowHeight="15" x14ac:dyDescent="0.25"/>
  <cols>
    <col min="1" max="1" width="11.5703125" customWidth="1"/>
    <col min="2" max="2" width="17.42578125" bestFit="1" customWidth="1"/>
    <col min="3" max="3" width="11.7109375" bestFit="1" customWidth="1"/>
    <col min="4" max="5" width="11.5703125" bestFit="1" customWidth="1"/>
    <col min="6" max="6" width="16.28515625" customWidth="1"/>
    <col min="7" max="16" width="11.5703125" bestFit="1" customWidth="1"/>
  </cols>
  <sheetData>
    <row r="1" spans="1:16" x14ac:dyDescent="0.25">
      <c r="C1" s="30" t="s">
        <v>130</v>
      </c>
      <c r="D1" s="30" t="s">
        <v>130</v>
      </c>
    </row>
    <row r="2" spans="1:16" x14ac:dyDescent="0.25">
      <c r="C2" s="31">
        <v>1</v>
      </c>
      <c r="D2" s="31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 s="35" t="s">
        <v>131</v>
      </c>
      <c r="P2" s="36" t="s">
        <v>134</v>
      </c>
    </row>
    <row r="3" spans="1:16" x14ac:dyDescent="0.25">
      <c r="A3" t="s">
        <v>0</v>
      </c>
      <c r="B3" t="s">
        <v>127</v>
      </c>
      <c r="C3" s="32">
        <v>44197</v>
      </c>
      <c r="D3" s="32">
        <v>44228</v>
      </c>
      <c r="E3" s="29">
        <v>44256</v>
      </c>
      <c r="F3" s="29">
        <v>44287</v>
      </c>
      <c r="G3" s="29">
        <v>44317</v>
      </c>
      <c r="H3" s="29">
        <v>44348</v>
      </c>
      <c r="I3" s="29">
        <v>44378</v>
      </c>
      <c r="J3" s="29">
        <v>44409</v>
      </c>
      <c r="K3" s="29">
        <v>44440</v>
      </c>
      <c r="L3" s="29">
        <v>44470</v>
      </c>
      <c r="M3" s="29">
        <v>44501</v>
      </c>
      <c r="N3" s="29">
        <v>44531</v>
      </c>
      <c r="O3" s="37">
        <v>44562</v>
      </c>
      <c r="P3" s="37">
        <v>44593</v>
      </c>
    </row>
    <row r="4" spans="1:16" x14ac:dyDescent="0.25">
      <c r="B4" t="s">
        <v>132</v>
      </c>
      <c r="C4" s="33">
        <v>150000</v>
      </c>
      <c r="D4" s="33">
        <v>160000</v>
      </c>
      <c r="E4" s="2">
        <v>165000</v>
      </c>
      <c r="F4" s="2">
        <v>175000</v>
      </c>
      <c r="G4" s="2">
        <v>180000</v>
      </c>
      <c r="H4" s="2">
        <v>188000</v>
      </c>
      <c r="I4" s="2">
        <v>195000</v>
      </c>
      <c r="J4" s="2">
        <v>200000</v>
      </c>
      <c r="K4" s="2">
        <v>210000</v>
      </c>
      <c r="L4" s="2">
        <v>215000</v>
      </c>
      <c r="M4" s="2">
        <v>225000</v>
      </c>
      <c r="N4" s="2">
        <v>235000</v>
      </c>
      <c r="O4" s="38"/>
      <c r="P4" s="38"/>
    </row>
    <row r="5" spans="1:16" x14ac:dyDescent="0.25">
      <c r="B5" t="s">
        <v>129</v>
      </c>
      <c r="C5" s="33">
        <v>135000</v>
      </c>
      <c r="D5" s="31"/>
      <c r="O5" s="38"/>
      <c r="P5" s="38"/>
    </row>
    <row r="6" spans="1:16" x14ac:dyDescent="0.25">
      <c r="B6" t="s">
        <v>133</v>
      </c>
      <c r="D6" s="33">
        <f>+C5*1.075</f>
        <v>145125</v>
      </c>
      <c r="E6" s="2">
        <f>+D6*1.075</f>
        <v>156009.375</v>
      </c>
      <c r="F6" s="2">
        <f t="shared" ref="F6:O6" si="0">+E6*1.075</f>
        <v>167710.078125</v>
      </c>
      <c r="G6" s="2">
        <f t="shared" si="0"/>
        <v>180288.333984375</v>
      </c>
      <c r="H6" s="2">
        <f t="shared" si="0"/>
        <v>193809.95903320311</v>
      </c>
      <c r="I6" s="2">
        <f t="shared" si="0"/>
        <v>208345.70596069333</v>
      </c>
      <c r="J6" s="2">
        <f t="shared" si="0"/>
        <v>223971.63390774533</v>
      </c>
      <c r="K6" s="2">
        <f t="shared" si="0"/>
        <v>240769.50645082621</v>
      </c>
      <c r="L6" s="2">
        <f t="shared" si="0"/>
        <v>258827.21943463816</v>
      </c>
      <c r="M6" s="2">
        <f t="shared" si="0"/>
        <v>278239.26089223602</v>
      </c>
      <c r="N6" s="2">
        <f t="shared" si="0"/>
        <v>299107.20545915369</v>
      </c>
      <c r="O6" s="39">
        <f t="shared" si="0"/>
        <v>321540.24586859019</v>
      </c>
      <c r="P6" s="38"/>
    </row>
    <row r="7" spans="1:16" x14ac:dyDescent="0.25">
      <c r="B7" t="s">
        <v>129</v>
      </c>
      <c r="C7" s="2"/>
      <c r="D7" s="33">
        <v>140000</v>
      </c>
      <c r="O7" s="38"/>
      <c r="P7" s="38"/>
    </row>
    <row r="8" spans="1:16" x14ac:dyDescent="0.25">
      <c r="B8" t="s">
        <v>135</v>
      </c>
      <c r="E8" s="2">
        <f>+D7*1.05</f>
        <v>147000</v>
      </c>
      <c r="F8" s="2">
        <f>+E8*1.05</f>
        <v>154350</v>
      </c>
      <c r="G8" s="2">
        <f t="shared" ref="G8:P8" si="1">+F8*1.05</f>
        <v>162067.5</v>
      </c>
      <c r="H8" s="2">
        <f t="shared" si="1"/>
        <v>170170.875</v>
      </c>
      <c r="I8" s="2">
        <f t="shared" si="1"/>
        <v>178679.41875000001</v>
      </c>
      <c r="J8" s="2">
        <f t="shared" si="1"/>
        <v>187613.38968750002</v>
      </c>
      <c r="K8" s="2">
        <f t="shared" si="1"/>
        <v>196994.05917187504</v>
      </c>
      <c r="L8" s="2">
        <f t="shared" si="1"/>
        <v>206843.76213046879</v>
      </c>
      <c r="M8" s="2">
        <f t="shared" si="1"/>
        <v>217185.95023699224</v>
      </c>
      <c r="N8" s="2">
        <f t="shared" si="1"/>
        <v>228045.24774884185</v>
      </c>
      <c r="O8" s="39">
        <f t="shared" si="1"/>
        <v>239447.51013628396</v>
      </c>
      <c r="P8" s="39">
        <f t="shared" si="1"/>
        <v>251419.88564309818</v>
      </c>
    </row>
    <row r="10" spans="1:16" x14ac:dyDescent="0.25">
      <c r="A10" s="8" t="s">
        <v>136</v>
      </c>
    </row>
    <row r="11" spans="1:16" x14ac:dyDescent="0.25">
      <c r="B11" s="8" t="s">
        <v>137</v>
      </c>
      <c r="C11" s="8" t="s">
        <v>138</v>
      </c>
      <c r="D11" s="8" t="s">
        <v>139</v>
      </c>
      <c r="E11" s="8" t="s">
        <v>140</v>
      </c>
      <c r="F11" s="8" t="s">
        <v>137</v>
      </c>
      <c r="G11" s="7" t="s">
        <v>142</v>
      </c>
    </row>
    <row r="12" spans="1:16" x14ac:dyDescent="0.25">
      <c r="A12" t="s">
        <v>128</v>
      </c>
      <c r="B12" s="2">
        <v>123450</v>
      </c>
    </row>
    <row r="13" spans="1:16" x14ac:dyDescent="0.25">
      <c r="A13" t="s">
        <v>141</v>
      </c>
      <c r="C13" s="40">
        <f>+B12*1.03</f>
        <v>127153.5</v>
      </c>
      <c r="D13" s="40">
        <f>+C13*1.03</f>
        <v>130968.10500000001</v>
      </c>
      <c r="E13" s="40">
        <f t="shared" ref="E13:F13" si="2">+D13*1.03</f>
        <v>134897.14815000002</v>
      </c>
      <c r="F13" s="40">
        <f t="shared" si="2"/>
        <v>138944.06259450002</v>
      </c>
      <c r="G13" s="9">
        <f>SUM(C13:F13)</f>
        <v>531962.81574450003</v>
      </c>
    </row>
    <row r="14" spans="1:16" x14ac:dyDescent="0.25">
      <c r="B14" s="16" t="s">
        <v>130</v>
      </c>
      <c r="F14" t="s">
        <v>143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/>
  </sheetViews>
  <sheetFormatPr defaultRowHeight="15" x14ac:dyDescent="0.25"/>
  <cols>
    <col min="1" max="1" width="19" customWidth="1"/>
    <col min="2" max="2" width="11.140625" bestFit="1" customWidth="1"/>
    <col min="3" max="3" width="11.7109375" bestFit="1" customWidth="1"/>
    <col min="4" max="4" width="11.5703125" bestFit="1" customWidth="1"/>
    <col min="8" max="8" width="11.5703125" bestFit="1" customWidth="1"/>
  </cols>
  <sheetData>
    <row r="2" spans="1:8" x14ac:dyDescent="0.25">
      <c r="A2" s="8" t="s">
        <v>144</v>
      </c>
    </row>
    <row r="3" spans="1:8" x14ac:dyDescent="0.25">
      <c r="D3" t="s">
        <v>149</v>
      </c>
      <c r="E3" t="s">
        <v>150</v>
      </c>
    </row>
    <row r="4" spans="1:8" x14ac:dyDescent="0.25">
      <c r="A4" t="s">
        <v>145</v>
      </c>
      <c r="B4" s="3">
        <v>0.35</v>
      </c>
      <c r="C4" s="9">
        <f>$C$8*B4</f>
        <v>229075</v>
      </c>
      <c r="D4" s="2">
        <v>670</v>
      </c>
      <c r="E4" s="2">
        <f>C4/D4</f>
        <v>341.90298507462688</v>
      </c>
    </row>
    <row r="5" spans="1:8" x14ac:dyDescent="0.25">
      <c r="A5" t="s">
        <v>146</v>
      </c>
      <c r="B5" s="3">
        <v>0.2</v>
      </c>
      <c r="C5" s="9">
        <f t="shared" ref="C5:C7" si="0">$C$8*B5</f>
        <v>130900</v>
      </c>
      <c r="D5" s="2">
        <v>23375</v>
      </c>
      <c r="E5" s="2">
        <f t="shared" ref="E5:E7" si="1">C5/D5</f>
        <v>5.6</v>
      </c>
      <c r="H5" s="2">
        <f>+D5*28</f>
        <v>654500</v>
      </c>
    </row>
    <row r="6" spans="1:8" x14ac:dyDescent="0.25">
      <c r="A6" t="s">
        <v>147</v>
      </c>
      <c r="B6" s="3">
        <v>0.15</v>
      </c>
      <c r="C6" s="9">
        <f t="shared" si="0"/>
        <v>98175</v>
      </c>
      <c r="D6" s="2">
        <v>120</v>
      </c>
      <c r="E6" s="2">
        <f t="shared" si="1"/>
        <v>818.125</v>
      </c>
    </row>
    <row r="7" spans="1:8" x14ac:dyDescent="0.25">
      <c r="A7" t="s">
        <v>148</v>
      </c>
      <c r="B7" s="3">
        <v>0.3</v>
      </c>
      <c r="C7" s="9">
        <f t="shared" si="0"/>
        <v>196350</v>
      </c>
      <c r="D7" s="2">
        <v>1000</v>
      </c>
      <c r="E7" s="2">
        <f t="shared" si="1"/>
        <v>196.35</v>
      </c>
    </row>
    <row r="8" spans="1:8" x14ac:dyDescent="0.25">
      <c r="C8" s="2">
        <v>654500</v>
      </c>
    </row>
    <row r="10" spans="1:8" x14ac:dyDescent="0.25">
      <c r="B10" s="41" t="s">
        <v>130</v>
      </c>
      <c r="C10" s="41" t="s">
        <v>152</v>
      </c>
      <c r="D10" s="41" t="s">
        <v>151</v>
      </c>
    </row>
    <row r="11" spans="1:8" x14ac:dyDescent="0.25">
      <c r="A11" t="s">
        <v>145</v>
      </c>
      <c r="B11" s="2">
        <f>+E4*75</f>
        <v>25642.723880597016</v>
      </c>
      <c r="C11" s="2">
        <f>+E4*115</f>
        <v>39318.843283582093</v>
      </c>
      <c r="D11" s="2">
        <f>+E4*480</f>
        <v>164113.43283582092</v>
      </c>
    </row>
    <row r="12" spans="1:8" x14ac:dyDescent="0.25">
      <c r="B12" t="s">
        <v>153</v>
      </c>
      <c r="C12" t="s">
        <v>154</v>
      </c>
      <c r="D12" t="s">
        <v>155</v>
      </c>
    </row>
    <row r="13" spans="1:8" x14ac:dyDescent="0.25">
      <c r="A13" t="s">
        <v>146</v>
      </c>
      <c r="B13" s="2">
        <f>5.6*1.5*750</f>
        <v>6299.9999999999991</v>
      </c>
      <c r="C13" s="2">
        <f>5.6*1250</f>
        <v>7000</v>
      </c>
      <c r="D13" s="2">
        <f>5.6*3*7000</f>
        <v>117599.99999999999</v>
      </c>
    </row>
    <row r="14" spans="1:8" x14ac:dyDescent="0.25">
      <c r="B14" t="s">
        <v>156</v>
      </c>
      <c r="C14" t="s">
        <v>157</v>
      </c>
      <c r="D14" t="s">
        <v>158</v>
      </c>
    </row>
    <row r="15" spans="1:8" x14ac:dyDescent="0.25">
      <c r="A15" t="s">
        <v>147</v>
      </c>
      <c r="B15" s="2">
        <f>+E6*12</f>
        <v>9817.5</v>
      </c>
      <c r="C15" s="2">
        <f>+E6*21</f>
        <v>17180.625</v>
      </c>
      <c r="D15" s="2">
        <f>+E6*87</f>
        <v>71176.875</v>
      </c>
    </row>
    <row r="16" spans="1:8" x14ac:dyDescent="0.25">
      <c r="B16" t="s">
        <v>159</v>
      </c>
      <c r="C16" t="s">
        <v>160</v>
      </c>
      <c r="D16" t="s">
        <v>161</v>
      </c>
    </row>
    <row r="17" spans="1:4" x14ac:dyDescent="0.25">
      <c r="A17" t="s">
        <v>148</v>
      </c>
      <c r="B17" s="2">
        <f>+E7*150</f>
        <v>29452.5</v>
      </c>
      <c r="C17" s="2">
        <f>+E7*180</f>
        <v>35343</v>
      </c>
      <c r="D17" s="2">
        <f>+E7*670</f>
        <v>131554.5</v>
      </c>
    </row>
    <row r="18" spans="1:4" x14ac:dyDescent="0.25">
      <c r="B18" t="s">
        <v>162</v>
      </c>
      <c r="C18" t="s">
        <v>163</v>
      </c>
      <c r="D18" t="s">
        <v>164</v>
      </c>
    </row>
    <row r="19" spans="1:4" x14ac:dyDescent="0.25">
      <c r="A19" t="s">
        <v>165</v>
      </c>
      <c r="B19" s="2">
        <f>B11+B13+B15+B17</f>
        <v>71212.723880597012</v>
      </c>
      <c r="C19" s="2">
        <f t="shared" ref="C19" si="2">C11+C13+C15+C17</f>
        <v>98842.4682835821</v>
      </c>
      <c r="D19" s="2">
        <f>D11+D13+D15+D17</f>
        <v>484444.80783582089</v>
      </c>
    </row>
    <row r="20" spans="1:4" x14ac:dyDescent="0.25">
      <c r="A20" t="s">
        <v>166</v>
      </c>
      <c r="B20" s="2">
        <v>750</v>
      </c>
      <c r="C20" s="2">
        <v>1250</v>
      </c>
      <c r="D20" s="2">
        <v>7000</v>
      </c>
    </row>
    <row r="21" spans="1:4" x14ac:dyDescent="0.25">
      <c r="A21" s="8" t="s">
        <v>167</v>
      </c>
      <c r="B21" s="21">
        <f>B19/B20</f>
        <v>94.950298507462676</v>
      </c>
      <c r="C21" s="21">
        <f t="shared" ref="C21:D21" si="3">C19/C20</f>
        <v>79.073974626865677</v>
      </c>
      <c r="D21" s="21">
        <f t="shared" si="3"/>
        <v>69.206401119402983</v>
      </c>
    </row>
    <row r="23" spans="1:4" x14ac:dyDescent="0.25">
      <c r="B23" s="7" t="s">
        <v>130</v>
      </c>
      <c r="C23" s="7" t="s">
        <v>152</v>
      </c>
      <c r="D23" s="7" t="s">
        <v>151</v>
      </c>
    </row>
    <row r="24" spans="1:4" x14ac:dyDescent="0.25">
      <c r="A24" t="s">
        <v>168</v>
      </c>
      <c r="B24" s="2">
        <v>23</v>
      </c>
      <c r="C24" s="2">
        <v>21</v>
      </c>
      <c r="D24" s="2">
        <v>31</v>
      </c>
    </row>
    <row r="25" spans="1:4" x14ac:dyDescent="0.25">
      <c r="A25" t="s">
        <v>169</v>
      </c>
      <c r="B25" s="9">
        <f>+B21</f>
        <v>94.950298507462676</v>
      </c>
      <c r="C25" s="9">
        <f t="shared" ref="C25:D25" si="4">+C21</f>
        <v>79.073974626865677</v>
      </c>
      <c r="D25" s="9">
        <f t="shared" si="4"/>
        <v>69.206401119402983</v>
      </c>
    </row>
    <row r="26" spans="1:4" ht="15.75" thickBot="1" x14ac:dyDescent="0.3">
      <c r="A26" s="11" t="s">
        <v>170</v>
      </c>
      <c r="B26" s="26">
        <f>SUM(B24:B25)</f>
        <v>117.95029850746268</v>
      </c>
      <c r="C26" s="26">
        <f t="shared" ref="C26:D26" si="5">SUM(C24:C25)</f>
        <v>100.07397462686568</v>
      </c>
      <c r="D26" s="26">
        <f t="shared" si="5"/>
        <v>100.20640111940298</v>
      </c>
    </row>
    <row r="27" spans="1:4" ht="15.75" thickTop="1" x14ac:dyDescent="0.25">
      <c r="A27" t="s">
        <v>171</v>
      </c>
      <c r="B27" s="2">
        <v>65</v>
      </c>
      <c r="C27" s="2">
        <v>49</v>
      </c>
      <c r="D27" s="2">
        <v>115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B22" sqref="B22"/>
    </sheetView>
  </sheetViews>
  <sheetFormatPr defaultRowHeight="15" x14ac:dyDescent="0.25"/>
  <cols>
    <col min="1" max="1" width="15.42578125" bestFit="1" customWidth="1"/>
    <col min="2" max="2" width="15.85546875" bestFit="1" customWidth="1"/>
    <col min="3" max="3" width="15.85546875" customWidth="1"/>
    <col min="4" max="4" width="20.28515625" bestFit="1" customWidth="1"/>
    <col min="5" max="5" width="10.5703125" bestFit="1" customWidth="1"/>
  </cols>
  <sheetData>
    <row r="2" spans="1:7" x14ac:dyDescent="0.25">
      <c r="A2" s="8" t="s">
        <v>172</v>
      </c>
    </row>
    <row r="3" spans="1:7" x14ac:dyDescent="0.25">
      <c r="D3" t="s">
        <v>193</v>
      </c>
    </row>
    <row r="4" spans="1:7" x14ac:dyDescent="0.25">
      <c r="B4" s="8" t="s">
        <v>173</v>
      </c>
      <c r="C4" s="8"/>
      <c r="D4" s="12" t="s">
        <v>0</v>
      </c>
      <c r="E4" s="12" t="s">
        <v>59</v>
      </c>
      <c r="F4" s="8" t="s">
        <v>174</v>
      </c>
    </row>
    <row r="5" spans="1:7" x14ac:dyDescent="0.25">
      <c r="A5" t="s">
        <v>175</v>
      </c>
      <c r="B5" t="s">
        <v>181</v>
      </c>
      <c r="C5" t="s">
        <v>185</v>
      </c>
      <c r="D5" s="2">
        <f>80*45</f>
        <v>3600</v>
      </c>
      <c r="E5" s="2">
        <v>3450</v>
      </c>
      <c r="F5" s="2">
        <f>D5-E5</f>
        <v>150</v>
      </c>
      <c r="G5" t="s">
        <v>190</v>
      </c>
    </row>
    <row r="6" spans="1:7" x14ac:dyDescent="0.25">
      <c r="A6" t="s">
        <v>176</v>
      </c>
      <c r="B6" t="s">
        <v>182</v>
      </c>
      <c r="C6" t="s">
        <v>186</v>
      </c>
      <c r="D6" s="2">
        <f>100*40</f>
        <v>4000</v>
      </c>
      <c r="E6" s="2">
        <v>4400</v>
      </c>
      <c r="F6" s="2">
        <v>400</v>
      </c>
      <c r="G6" t="s">
        <v>191</v>
      </c>
    </row>
    <row r="7" spans="1:7" x14ac:dyDescent="0.25">
      <c r="A7" t="s">
        <v>177</v>
      </c>
      <c r="B7" t="s">
        <v>183</v>
      </c>
      <c r="C7" t="s">
        <v>192</v>
      </c>
      <c r="D7" s="2">
        <f>36*25</f>
        <v>900</v>
      </c>
      <c r="E7" s="2">
        <v>960</v>
      </c>
      <c r="F7" s="2">
        <v>60</v>
      </c>
      <c r="G7" t="s">
        <v>191</v>
      </c>
    </row>
    <row r="8" spans="1:7" x14ac:dyDescent="0.25">
      <c r="A8" t="s">
        <v>178</v>
      </c>
      <c r="B8" t="s">
        <v>184</v>
      </c>
      <c r="C8" t="s">
        <v>187</v>
      </c>
      <c r="D8" s="2">
        <v>2000</v>
      </c>
      <c r="E8" s="2">
        <v>1750</v>
      </c>
      <c r="F8" s="2">
        <v>250</v>
      </c>
      <c r="G8" t="s">
        <v>190</v>
      </c>
    </row>
    <row r="9" spans="1:7" x14ac:dyDescent="0.25">
      <c r="A9" t="s">
        <v>179</v>
      </c>
      <c r="C9" t="s">
        <v>188</v>
      </c>
      <c r="D9" s="2">
        <f>24000/12</f>
        <v>2000</v>
      </c>
      <c r="E9" s="2">
        <v>1900</v>
      </c>
      <c r="F9" s="2">
        <v>100</v>
      </c>
      <c r="G9" t="s">
        <v>190</v>
      </c>
    </row>
    <row r="10" spans="1:7" x14ac:dyDescent="0.25">
      <c r="A10" t="s">
        <v>180</v>
      </c>
      <c r="C10" t="s">
        <v>189</v>
      </c>
      <c r="D10" s="2">
        <f>30000/12</f>
        <v>2500</v>
      </c>
      <c r="E10" s="2">
        <v>2700</v>
      </c>
      <c r="F10" s="2">
        <v>200</v>
      </c>
      <c r="G10" t="s">
        <v>191</v>
      </c>
    </row>
    <row r="11" spans="1:7" ht="15.75" thickBot="1" x14ac:dyDescent="0.3">
      <c r="D11" s="26">
        <f>SUM(D5:D10)</f>
        <v>15000</v>
      </c>
      <c r="E11" s="26">
        <f>SUM(E5:E10)</f>
        <v>15160</v>
      </c>
      <c r="F11" s="14">
        <v>160</v>
      </c>
      <c r="G11" t="s">
        <v>191</v>
      </c>
    </row>
    <row r="12" spans="1:7" ht="15.75" thickTop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workbookViewId="0">
      <selection activeCell="A21" sqref="A21"/>
    </sheetView>
  </sheetViews>
  <sheetFormatPr defaultRowHeight="15" x14ac:dyDescent="0.25"/>
  <cols>
    <col min="1" max="1" width="32.42578125" customWidth="1"/>
    <col min="2" max="2" width="20" bestFit="1" customWidth="1"/>
    <col min="3" max="3" width="13.28515625" bestFit="1" customWidth="1"/>
    <col min="4" max="4" width="11.5703125" bestFit="1" customWidth="1"/>
  </cols>
  <sheetData>
    <row r="2" spans="1:3" x14ac:dyDescent="0.25">
      <c r="A2" s="8" t="s">
        <v>194</v>
      </c>
    </row>
    <row r="4" spans="1:3" x14ac:dyDescent="0.25">
      <c r="A4" t="s">
        <v>195</v>
      </c>
      <c r="B4" t="s">
        <v>196</v>
      </c>
      <c r="C4" s="9">
        <f>+C22</f>
        <v>514000</v>
      </c>
    </row>
    <row r="5" spans="1:3" x14ac:dyDescent="0.25">
      <c r="A5" t="s">
        <v>204</v>
      </c>
      <c r="B5" t="s">
        <v>205</v>
      </c>
      <c r="C5" s="9">
        <f>+D39</f>
        <v>315334.87111865758</v>
      </c>
    </row>
    <row r="6" spans="1:3" x14ac:dyDescent="0.25">
      <c r="A6" t="s">
        <v>227</v>
      </c>
      <c r="B6" t="s">
        <v>228</v>
      </c>
      <c r="C6" s="2">
        <f>+C5/5*2</f>
        <v>126133.94844746303</v>
      </c>
    </row>
    <row r="7" spans="1:3" x14ac:dyDescent="0.25">
      <c r="A7" t="s">
        <v>229</v>
      </c>
      <c r="B7" t="s">
        <v>230</v>
      </c>
      <c r="C7" s="2">
        <f>15000*12</f>
        <v>180000</v>
      </c>
    </row>
    <row r="8" spans="1:3" x14ac:dyDescent="0.25">
      <c r="A8" t="s">
        <v>231</v>
      </c>
      <c r="C8" s="9">
        <f>SUM(C4:C7)</f>
        <v>1135468.8195661204</v>
      </c>
    </row>
    <row r="10" spans="1:3" x14ac:dyDescent="0.25">
      <c r="A10" t="s">
        <v>232</v>
      </c>
      <c r="B10" t="s">
        <v>233</v>
      </c>
      <c r="C10" s="2">
        <f>1200*1050</f>
        <v>1260000</v>
      </c>
    </row>
    <row r="12" spans="1:3" x14ac:dyDescent="0.25">
      <c r="A12" s="11" t="s">
        <v>234</v>
      </c>
      <c r="B12" s="11"/>
      <c r="C12" s="28">
        <f>C10-C8</f>
        <v>124531.18043387961</v>
      </c>
    </row>
    <row r="14" spans="1:3" x14ac:dyDescent="0.25">
      <c r="A14" t="s">
        <v>235</v>
      </c>
      <c r="C14" s="2">
        <v>130000</v>
      </c>
    </row>
    <row r="16" spans="1:3" s="6" customFormat="1" x14ac:dyDescent="0.25">
      <c r="A16" s="6" t="s">
        <v>236</v>
      </c>
    </row>
    <row r="18" spans="1:16" x14ac:dyDescent="0.25">
      <c r="A18" s="8" t="s">
        <v>197</v>
      </c>
    </row>
    <row r="19" spans="1:16" x14ac:dyDescent="0.25">
      <c r="A19" t="s">
        <v>198</v>
      </c>
      <c r="B19" t="s">
        <v>199</v>
      </c>
      <c r="C19" s="2">
        <f>500*200</f>
        <v>100000</v>
      </c>
    </row>
    <row r="20" spans="1:16" x14ac:dyDescent="0.25">
      <c r="A20" t="s">
        <v>200</v>
      </c>
      <c r="B20" t="s">
        <v>201</v>
      </c>
      <c r="C20" s="2">
        <f>500*0.9*200</f>
        <v>90000</v>
      </c>
    </row>
    <row r="21" spans="1:16" x14ac:dyDescent="0.25">
      <c r="A21" t="s">
        <v>202</v>
      </c>
      <c r="B21" t="s">
        <v>203</v>
      </c>
      <c r="C21" s="2">
        <f>500*0.9*0.9*800</f>
        <v>324000</v>
      </c>
    </row>
    <row r="22" spans="1:16" ht="15.75" thickBot="1" x14ac:dyDescent="0.3">
      <c r="C22" s="44">
        <f>SUM(C19:C21)</f>
        <v>514000</v>
      </c>
    </row>
    <row r="23" spans="1:16" ht="15.75" thickTop="1" x14ac:dyDescent="0.25"/>
    <row r="24" spans="1:16" x14ac:dyDescent="0.25">
      <c r="A24" s="8" t="s">
        <v>206</v>
      </c>
      <c r="G24" s="98">
        <v>0.8</v>
      </c>
      <c r="H24" s="99"/>
      <c r="I24" s="99"/>
      <c r="J24" s="99"/>
      <c r="K24" s="99"/>
      <c r="L24" s="99"/>
    </row>
    <row r="25" spans="1:16" x14ac:dyDescent="0.25">
      <c r="A25" t="s">
        <v>207</v>
      </c>
      <c r="B25" t="s">
        <v>208</v>
      </c>
      <c r="G25" s="31"/>
      <c r="H25" s="31"/>
      <c r="I25" s="31"/>
      <c r="J25" s="31"/>
      <c r="K25" s="31"/>
      <c r="L25" s="31"/>
      <c r="M25" s="34"/>
      <c r="N25" s="34"/>
      <c r="O25" s="34"/>
      <c r="P25" s="34"/>
    </row>
    <row r="26" spans="1:16" x14ac:dyDescent="0.25">
      <c r="B26" t="s">
        <v>211</v>
      </c>
      <c r="G26">
        <v>0</v>
      </c>
      <c r="L26">
        <v>700</v>
      </c>
      <c r="P26">
        <v>1200</v>
      </c>
    </row>
    <row r="27" spans="1:16" x14ac:dyDescent="0.25">
      <c r="B27" t="s">
        <v>212</v>
      </c>
      <c r="M27" t="s">
        <v>209</v>
      </c>
    </row>
    <row r="28" spans="1:16" x14ac:dyDescent="0.25">
      <c r="B28" t="s">
        <v>213</v>
      </c>
      <c r="M28" t="s">
        <v>210</v>
      </c>
    </row>
    <row r="29" spans="1:16" ht="30" x14ac:dyDescent="0.25">
      <c r="C29" s="45" t="s">
        <v>216</v>
      </c>
      <c r="D29" t="s">
        <v>217</v>
      </c>
    </row>
    <row r="30" spans="1:16" x14ac:dyDescent="0.25">
      <c r="A30" t="s">
        <v>214</v>
      </c>
      <c r="B30" t="s">
        <v>215</v>
      </c>
      <c r="C30" s="2">
        <f>(2500*700^-0.3219)</f>
        <v>303.46104539380235</v>
      </c>
      <c r="D30" s="43">
        <f>+C30*700</f>
        <v>212422.73177566164</v>
      </c>
    </row>
    <row r="32" spans="1:16" x14ac:dyDescent="0.25">
      <c r="A32" t="s">
        <v>218</v>
      </c>
    </row>
    <row r="33" spans="1:4" x14ac:dyDescent="0.25">
      <c r="A33" t="s">
        <v>221</v>
      </c>
      <c r="B33" t="s">
        <v>215</v>
      </c>
      <c r="C33" s="2">
        <f>(2500*700^-0.3219)</f>
        <v>303.46104539380235</v>
      </c>
      <c r="D33" s="2">
        <f>+C33*700</f>
        <v>212422.73177566164</v>
      </c>
    </row>
    <row r="34" spans="1:4" x14ac:dyDescent="0.25">
      <c r="A34" t="s">
        <v>222</v>
      </c>
      <c r="B34" t="s">
        <v>220</v>
      </c>
      <c r="C34" s="2">
        <f>(2500*699^-0.3219)</f>
        <v>303.60072603286932</v>
      </c>
      <c r="D34" s="9">
        <f>C34*699</f>
        <v>212216.90749697565</v>
      </c>
    </row>
    <row r="35" spans="1:4" x14ac:dyDescent="0.25">
      <c r="A35" s="46" t="s">
        <v>219</v>
      </c>
      <c r="B35" s="46"/>
      <c r="C35" s="46"/>
      <c r="D35" s="47">
        <f>D33-D34</f>
        <v>205.82427868599189</v>
      </c>
    </row>
    <row r="37" spans="1:4" x14ac:dyDescent="0.25">
      <c r="A37" t="s">
        <v>223</v>
      </c>
      <c r="C37" t="s">
        <v>224</v>
      </c>
      <c r="D37" s="43">
        <f>+D35*500</f>
        <v>102912.13934299594</v>
      </c>
    </row>
    <row r="39" spans="1:4" ht="15.75" thickBot="1" x14ac:dyDescent="0.3">
      <c r="A39" t="s">
        <v>225</v>
      </c>
      <c r="B39" t="s">
        <v>226</v>
      </c>
      <c r="D39" s="44">
        <f>+D30+D37</f>
        <v>315334.87111865758</v>
      </c>
    </row>
    <row r="40" spans="1:4" ht="15.75" thickTop="1" x14ac:dyDescent="0.25"/>
  </sheetData>
  <mergeCells count="1">
    <mergeCell ref="G24:L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D5235BD8196459094D911B8306954" ma:contentTypeVersion="2" ma:contentTypeDescription="Create a new document." ma:contentTypeScope="" ma:versionID="7d3f95f98ad69006f1fda5377d559899">
  <xsd:schema xmlns:xsd="http://www.w3.org/2001/XMLSchema" xmlns:xs="http://www.w3.org/2001/XMLSchema" xmlns:p="http://schemas.microsoft.com/office/2006/metadata/properties" xmlns:ns2="20b2cda8-5da6-421f-9652-695d07a12471" targetNamespace="http://schemas.microsoft.com/office/2006/metadata/properties" ma:root="true" ma:fieldsID="68730a6f03420a00453edfbfef690766" ns2:_="">
    <xsd:import namespace="20b2cda8-5da6-421f-9652-695d07a124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2cda8-5da6-421f-9652-695d07a12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2F7C39-63EA-494D-80FB-40FB36E998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39D9F0-177F-4B42-B04E-001FD02553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28E671-B233-44CF-BE6B-EC74E676A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b2cda8-5da6-421f-9652-695d07a12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E1</vt:lpstr>
      <vt:lpstr>E2</vt:lpstr>
      <vt:lpstr>E3</vt:lpstr>
      <vt:lpstr>E4</vt:lpstr>
      <vt:lpstr>E5</vt:lpstr>
      <vt:lpstr>E7</vt:lpstr>
      <vt:lpstr>E8</vt:lpstr>
      <vt:lpstr>E9</vt:lpstr>
      <vt:lpstr>E10</vt:lpstr>
      <vt:lpstr>E11</vt:lpstr>
      <vt:lpstr>E15</vt:lpstr>
      <vt:lpstr>E20</vt:lpstr>
      <vt:lpstr>Q1</vt:lpstr>
      <vt:lpstr>Q2</vt:lpstr>
      <vt:lpstr>Q3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0x0101009F3D5235BD8196459094D911B8306954</vt:lpwstr>
  </property>
</Properties>
</file>