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CL\AMA\Set 06\Final\"/>
    </mc:Choice>
  </mc:AlternateContent>
  <bookViews>
    <workbookView xWindow="0" yWindow="0" windowWidth="20490" windowHeight="7740" tabRatio="837"/>
  </bookViews>
  <sheets>
    <sheet name="Sheet1" sheetId="1" r:id="rId1"/>
    <sheet name="E1" sheetId="2" r:id="rId2"/>
    <sheet name="E2" sheetId="3" r:id="rId3"/>
    <sheet name="E3" sheetId="5" r:id="rId4"/>
    <sheet name="E4" sheetId="6" r:id="rId5"/>
    <sheet name="EAR" sheetId="7" r:id="rId6"/>
    <sheet name="E5" sheetId="8" r:id="rId7"/>
    <sheet name="E6" sheetId="9" r:id="rId8"/>
    <sheet name="E7" sheetId="10" r:id="rId9"/>
    <sheet name="E8" sheetId="11" r:id="rId10"/>
    <sheet name="E9" sheetId="12" r:id="rId11"/>
    <sheet name="E10" sheetId="13" r:id="rId12"/>
    <sheet name="E11" sheetId="14" r:id="rId13"/>
    <sheet name="E12" sheetId="15" r:id="rId14"/>
    <sheet name="E13" sheetId="16" r:id="rId15"/>
    <sheet name="E14" sheetId="17" r:id="rId16"/>
    <sheet name="Q1" sheetId="18" r:id="rId17"/>
    <sheet name="Q2" sheetId="19" r:id="rId18"/>
    <sheet name="Q3" sheetId="4" r:id="rId19"/>
    <sheet name="2021 Jul Q5" sheetId="20" r:id="rId2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0" l="1"/>
  <c r="D8" i="20"/>
  <c r="C8" i="20"/>
  <c r="D7" i="20"/>
  <c r="D9" i="20" s="1"/>
  <c r="C18" i="20" s="1"/>
  <c r="C7" i="20"/>
  <c r="C9" i="20" s="1"/>
  <c r="B18" i="20" s="1"/>
  <c r="D6" i="20"/>
  <c r="C6" i="20"/>
  <c r="B15" i="20" s="1"/>
  <c r="D5" i="20"/>
  <c r="C5" i="20"/>
  <c r="B14" i="20" s="1"/>
  <c r="B31" i="19"/>
  <c r="B26" i="19"/>
  <c r="B21" i="19"/>
  <c r="I19" i="19"/>
  <c r="H12" i="19"/>
  <c r="B12" i="19"/>
  <c r="B11" i="19"/>
  <c r="B14" i="19" s="1"/>
  <c r="M12" i="18"/>
  <c r="L12" i="18"/>
  <c r="K12" i="18"/>
  <c r="J12" i="18"/>
  <c r="M9" i="18"/>
  <c r="M10" i="18" s="1"/>
  <c r="E11" i="18" s="1"/>
  <c r="L9" i="18"/>
  <c r="L10" i="18" s="1"/>
  <c r="D11" i="18" s="1"/>
  <c r="K9" i="18"/>
  <c r="K10" i="18" s="1"/>
  <c r="C11" i="18" s="1"/>
  <c r="J9" i="18"/>
  <c r="J10" i="18" s="1"/>
  <c r="B11" i="18" s="1"/>
  <c r="E8" i="18"/>
  <c r="E10" i="18" s="1"/>
  <c r="D8" i="18"/>
  <c r="D10" i="18" s="1"/>
  <c r="C8" i="18"/>
  <c r="C10" i="18" s="1"/>
  <c r="B8" i="18"/>
  <c r="B10" i="18" s="1"/>
  <c r="C12" i="18" l="1"/>
  <c r="B12" i="18"/>
  <c r="D12" i="18"/>
  <c r="E12" i="18"/>
  <c r="D31" i="17" l="1"/>
  <c r="D30" i="17"/>
  <c r="D29" i="17"/>
  <c r="D26" i="17"/>
  <c r="D25" i="17"/>
  <c r="D24" i="17"/>
  <c r="D23" i="17"/>
  <c r="D20" i="17"/>
  <c r="D19" i="17"/>
  <c r="D18" i="17"/>
  <c r="B13" i="17"/>
  <c r="B10" i="17"/>
  <c r="D32" i="17" l="1"/>
  <c r="F13" i="16"/>
  <c r="C18" i="16"/>
  <c r="C16" i="16"/>
  <c r="C15" i="16"/>
  <c r="C14" i="16"/>
  <c r="C13" i="16"/>
  <c r="C8" i="16"/>
  <c r="C7" i="16"/>
  <c r="E7" i="16"/>
  <c r="C6" i="16"/>
  <c r="C9" i="16" s="1"/>
  <c r="D20" i="15"/>
  <c r="D21" i="15" s="1"/>
  <c r="E21" i="15"/>
  <c r="E19" i="15"/>
  <c r="E14" i="15"/>
  <c r="D14" i="15"/>
  <c r="D13" i="15"/>
  <c r="E12" i="15"/>
  <c r="D8" i="15"/>
  <c r="C17" i="14"/>
  <c r="C15" i="14"/>
  <c r="C14" i="14"/>
  <c r="C13" i="14"/>
  <c r="C12" i="14"/>
  <c r="C9" i="14"/>
  <c r="C7" i="14"/>
  <c r="C6" i="14"/>
  <c r="N5" i="14"/>
  <c r="C17" i="16" l="1"/>
  <c r="D19" i="13"/>
  <c r="D18" i="13"/>
  <c r="D17" i="13"/>
  <c r="C16" i="13"/>
  <c r="C15" i="13"/>
  <c r="C14" i="13"/>
  <c r="D12" i="13"/>
  <c r="D5" i="13"/>
  <c r="D6" i="13" s="1"/>
  <c r="D7" i="13" s="1"/>
  <c r="D9" i="13" s="1"/>
  <c r="D4" i="13"/>
  <c r="C10" i="12"/>
  <c r="C9" i="12"/>
  <c r="C8" i="12"/>
  <c r="C6" i="12"/>
  <c r="C5" i="12"/>
  <c r="C4" i="12"/>
  <c r="D14" i="11"/>
  <c r="D13" i="11"/>
  <c r="C12" i="11"/>
  <c r="C11" i="11"/>
  <c r="C10" i="11"/>
  <c r="D7" i="11"/>
  <c r="D6" i="11"/>
  <c r="D5" i="11"/>
  <c r="B6" i="11"/>
  <c r="B5" i="11"/>
  <c r="D4" i="11"/>
  <c r="B4" i="11"/>
  <c r="E39" i="10" l="1"/>
  <c r="C34" i="10"/>
  <c r="D35" i="10" s="1"/>
  <c r="D38" i="10" s="1"/>
  <c r="C33" i="10"/>
  <c r="C27" i="10"/>
  <c r="E27" i="10" s="1"/>
  <c r="E26" i="10"/>
  <c r="E28" i="10" s="1"/>
  <c r="B21" i="10"/>
  <c r="E18" i="10"/>
  <c r="C13" i="10"/>
  <c r="D14" i="10" s="1"/>
  <c r="D17" i="10" s="1"/>
  <c r="C12" i="10"/>
  <c r="C6" i="10"/>
  <c r="C7" i="10" s="1"/>
  <c r="E5" i="10"/>
  <c r="C28" i="10" l="1"/>
  <c r="E29" i="10" s="1"/>
  <c r="E40" i="10" s="1"/>
  <c r="E6" i="10"/>
  <c r="E7" i="10" s="1"/>
  <c r="E8" i="10" s="1"/>
  <c r="E19" i="10" s="1"/>
  <c r="E22" i="9"/>
  <c r="E24" i="9" s="1"/>
  <c r="E20" i="9"/>
  <c r="E16" i="9"/>
  <c r="C28" i="9" l="1"/>
  <c r="C26" i="9"/>
  <c r="F9" i="9" l="1"/>
  <c r="F11" i="9"/>
  <c r="F10" i="9"/>
  <c r="F8" i="9"/>
  <c r="E10" i="9"/>
  <c r="E9" i="9"/>
  <c r="D11" i="9"/>
  <c r="D10" i="9"/>
  <c r="D9" i="9"/>
  <c r="D8" i="9"/>
  <c r="C10" i="9"/>
  <c r="C9" i="9"/>
  <c r="B10" i="8"/>
  <c r="B7" i="8"/>
  <c r="H15" i="7"/>
  <c r="B7" i="7"/>
  <c r="J15" i="7"/>
  <c r="J5" i="7"/>
  <c r="J4" i="7"/>
  <c r="H6" i="7"/>
  <c r="J6" i="7" s="1"/>
  <c r="H7" i="7" s="1"/>
  <c r="H5" i="7"/>
  <c r="H4" i="7"/>
  <c r="J3" i="7"/>
  <c r="D20" i="6"/>
  <c r="F15" i="6"/>
  <c r="D10" i="6"/>
  <c r="E18" i="5"/>
  <c r="C13" i="5"/>
  <c r="C10" i="5"/>
  <c r="H6" i="4"/>
  <c r="D6" i="4"/>
  <c r="H8" i="7" l="1"/>
  <c r="J7" i="7"/>
  <c r="C10" i="3"/>
  <c r="C9" i="3"/>
  <c r="G6" i="3"/>
  <c r="G7" i="3"/>
  <c r="C8" i="3"/>
  <c r="C7" i="3"/>
  <c r="C6" i="3"/>
  <c r="C5" i="3"/>
  <c r="C4" i="3"/>
  <c r="C8" i="2"/>
  <c r="C7" i="2"/>
  <c r="C6" i="2"/>
  <c r="C5" i="2"/>
  <c r="C4" i="2"/>
  <c r="K49" i="1"/>
  <c r="K47" i="1"/>
  <c r="J8" i="7" l="1"/>
  <c r="H9" i="7" s="1"/>
  <c r="J9" i="7" l="1"/>
  <c r="H10" i="7" s="1"/>
  <c r="J10" i="7" l="1"/>
  <c r="H11" i="7" s="1"/>
  <c r="J11" i="7" l="1"/>
  <c r="H12" i="7" s="1"/>
  <c r="J12" i="7" l="1"/>
  <c r="H13" i="7" s="1"/>
  <c r="J13" i="7" l="1"/>
  <c r="H14" i="7" s="1"/>
  <c r="J14" i="7" s="1"/>
</calcChain>
</file>

<file path=xl/sharedStrings.xml><?xml version="1.0" encoding="utf-8"?>
<sst xmlns="http://schemas.openxmlformats.org/spreadsheetml/2006/main" count="504" uniqueCount="389">
  <si>
    <t>Current Assets</t>
  </si>
  <si>
    <t>Current Liabilities</t>
  </si>
  <si>
    <t>Inventory</t>
  </si>
  <si>
    <t>Debtors</t>
  </si>
  <si>
    <t>Cash</t>
  </si>
  <si>
    <t>RM/WIP/FG</t>
  </si>
  <si>
    <t>Supplier</t>
  </si>
  <si>
    <t>Expense creditors</t>
  </si>
  <si>
    <t>Bank OD</t>
  </si>
  <si>
    <t>Cash generated</t>
  </si>
  <si>
    <t>Cash utilised</t>
  </si>
  <si>
    <t>Invested in current assets</t>
  </si>
  <si>
    <t>Working Capital</t>
  </si>
  <si>
    <t>Working Capital Management</t>
  </si>
  <si>
    <t>More cash</t>
  </si>
  <si>
    <t>Lower profit</t>
  </si>
  <si>
    <t>Less cash</t>
  </si>
  <si>
    <t>Lower Profit</t>
  </si>
  <si>
    <t>Enough cash</t>
  </si>
  <si>
    <t>Optimum profit</t>
  </si>
  <si>
    <t>Sacrifice the opportunity gain</t>
  </si>
  <si>
    <t>Production stopages</t>
  </si>
  <si>
    <t>Internal factors</t>
  </si>
  <si>
    <t>External factors</t>
  </si>
  <si>
    <t>Size of the business</t>
  </si>
  <si>
    <t>Hirachy</t>
  </si>
  <si>
    <t>Business growth</t>
  </si>
  <si>
    <t>Industry</t>
  </si>
  <si>
    <t>Management knowledge</t>
  </si>
  <si>
    <t>Management risk appetite</t>
  </si>
  <si>
    <t>Interets rate</t>
  </si>
  <si>
    <t>Exchange rate</t>
  </si>
  <si>
    <t>Inflation rate</t>
  </si>
  <si>
    <t>Competition</t>
  </si>
  <si>
    <t>Risk followers / Lovers</t>
  </si>
  <si>
    <t>Risk averse / hate</t>
  </si>
  <si>
    <t>Risk neutral</t>
  </si>
  <si>
    <t>Months</t>
  </si>
  <si>
    <t>Jan</t>
  </si>
  <si>
    <t>Feb</t>
  </si>
  <si>
    <t>Mar</t>
  </si>
  <si>
    <t>Apr</t>
  </si>
  <si>
    <t>Value Mn</t>
  </si>
  <si>
    <t>Higher</t>
  </si>
  <si>
    <t>Lower</t>
  </si>
  <si>
    <t>Permanent</t>
  </si>
  <si>
    <t>Temporary</t>
  </si>
  <si>
    <t>WC Requirement</t>
  </si>
  <si>
    <t>Rs.95Mn Own Money</t>
  </si>
  <si>
    <t>Rs.95Mn, outside</t>
  </si>
  <si>
    <t>Rs.35Mn own, Rs.60Mn outside</t>
  </si>
  <si>
    <t>Aggressive</t>
  </si>
  <si>
    <t>Concervative</t>
  </si>
  <si>
    <t>Moderate</t>
  </si>
  <si>
    <t>Approach</t>
  </si>
  <si>
    <t>How much of working capital need</t>
  </si>
  <si>
    <t>How much of working capital need, calculation</t>
  </si>
  <si>
    <t>Raw material</t>
  </si>
  <si>
    <t>Suppliers</t>
  </si>
  <si>
    <t>Production</t>
  </si>
  <si>
    <t>FG Ware house</t>
  </si>
  <si>
    <t>40 days</t>
  </si>
  <si>
    <t>10 Days</t>
  </si>
  <si>
    <t>35 Days</t>
  </si>
  <si>
    <t>45 Days</t>
  </si>
  <si>
    <t>33 Days</t>
  </si>
  <si>
    <t>RM</t>
  </si>
  <si>
    <t>WIP</t>
  </si>
  <si>
    <t>FG</t>
  </si>
  <si>
    <t>Customer</t>
  </si>
  <si>
    <t>Material convert to cash in</t>
  </si>
  <si>
    <t>Almost 4 months</t>
  </si>
  <si>
    <t>(-) Creditors</t>
  </si>
  <si>
    <t>Working capital cycle</t>
  </si>
  <si>
    <t>Almost 3 months</t>
  </si>
  <si>
    <t>Exercise 01</t>
  </si>
  <si>
    <t>Receivable holding period</t>
  </si>
  <si>
    <t>365days/11</t>
  </si>
  <si>
    <t>Days</t>
  </si>
  <si>
    <t>Inventory holding period</t>
  </si>
  <si>
    <t>365days/9</t>
  </si>
  <si>
    <t>(-) Payables holding period</t>
  </si>
  <si>
    <t>365days/8</t>
  </si>
  <si>
    <t>Length of working capital cycle</t>
  </si>
  <si>
    <t>Exercise 02</t>
  </si>
  <si>
    <t>RM holding period</t>
  </si>
  <si>
    <t>WIP holding period</t>
  </si>
  <si>
    <t>FG holding period</t>
  </si>
  <si>
    <t>Receivables holding period</t>
  </si>
  <si>
    <t>((20+15)/2) / 180 * 365 days</t>
  </si>
  <si>
    <t>((25+20)/2) / 180 * 365 days</t>
  </si>
  <si>
    <t>((15+10)/2) / 180 * 365 days</t>
  </si>
  <si>
    <t>((40+35)/2) / 225 * 365 days</t>
  </si>
  <si>
    <t>COS</t>
  </si>
  <si>
    <t>Closing FG</t>
  </si>
  <si>
    <t>Opening FG</t>
  </si>
  <si>
    <t>Purchases</t>
  </si>
  <si>
    <t>((25+20)/2) / 185 * 365 days</t>
  </si>
  <si>
    <t>Question 03</t>
  </si>
  <si>
    <t>a)</t>
  </si>
  <si>
    <t>Permanat working capital requirement</t>
  </si>
  <si>
    <t>Rs.Mn</t>
  </si>
  <si>
    <t>Long term loan</t>
  </si>
  <si>
    <t>Permanent WC financed by short term loan</t>
  </si>
  <si>
    <t>Short term working capital requirement</t>
  </si>
  <si>
    <t>Rs.260Mn - Rs.60Mn</t>
  </si>
  <si>
    <t xml:space="preserve">Short term financing </t>
  </si>
  <si>
    <t>Rs.210Mn+Rs.15Mn</t>
  </si>
  <si>
    <t>RPL currently follows aggressive approach.</t>
  </si>
  <si>
    <t>Exercise 03</t>
  </si>
  <si>
    <t>Q =</t>
  </si>
  <si>
    <t>2 *S*C</t>
  </si>
  <si>
    <t>I</t>
  </si>
  <si>
    <t>2*24Mn*4Mn</t>
  </si>
  <si>
    <t>12% - 9%</t>
  </si>
  <si>
    <t>Rs.80Mn</t>
  </si>
  <si>
    <t>For how many years</t>
  </si>
  <si>
    <t>80Mn/24</t>
  </si>
  <si>
    <t>Years</t>
  </si>
  <si>
    <t>Exercise 04</t>
  </si>
  <si>
    <t>Spread</t>
  </si>
  <si>
    <t>=</t>
  </si>
  <si>
    <t>3 *</t>
  </si>
  <si>
    <t>(3/4 * (transaction cost * Variance of CF)</t>
  </si>
  <si>
    <t>Interest rate</t>
  </si>
  <si>
    <t>^(1/3)</t>
  </si>
  <si>
    <t>3*</t>
  </si>
  <si>
    <t>3/4 * (Rs.50 * Rs.4,000,000)</t>
  </si>
  <si>
    <t>^ (1/3)</t>
  </si>
  <si>
    <t>((4000000*50/0.00025)*3/4)^(1/3)*3</t>
  </si>
  <si>
    <t>Return point</t>
  </si>
  <si>
    <t>Lower Limit + 1/3 of spread</t>
  </si>
  <si>
    <t>8,000 + 1/3(25,302.98)</t>
  </si>
  <si>
    <t>8,000 + 8,434.32</t>
  </si>
  <si>
    <t>Upper limit</t>
  </si>
  <si>
    <t>Lower Limit + Spread</t>
  </si>
  <si>
    <t>8,000 + 25,302.98</t>
  </si>
  <si>
    <t>Interest rate 15% compunded monthly basis</t>
  </si>
  <si>
    <t xml:space="preserve">r = </t>
  </si>
  <si>
    <t>(1+r/n)^n-1</t>
  </si>
  <si>
    <t>(1+0.15/0.12)^12-1</t>
  </si>
  <si>
    <t>(1+.15/12)^12-1</t>
  </si>
  <si>
    <t>Exercise 5</t>
  </si>
  <si>
    <t>Yield =</t>
  </si>
  <si>
    <t>Market Price</t>
  </si>
  <si>
    <t>Gross interest *100</t>
  </si>
  <si>
    <t>* 100</t>
  </si>
  <si>
    <t>Exercise 06</t>
  </si>
  <si>
    <t>Redemption yeild is IRR</t>
  </si>
  <si>
    <t>Year</t>
  </si>
  <si>
    <t>Investors point of view</t>
  </si>
  <si>
    <t>1-9</t>
  </si>
  <si>
    <t>NCF</t>
  </si>
  <si>
    <t>DF @ 10%</t>
  </si>
  <si>
    <t>PV</t>
  </si>
  <si>
    <t>NPV</t>
  </si>
  <si>
    <t>DF @ 5%</t>
  </si>
  <si>
    <t>IRR</t>
  </si>
  <si>
    <t>A</t>
  </si>
  <si>
    <t>+</t>
  </si>
  <si>
    <t>IRRa</t>
  </si>
  <si>
    <t>B-A</t>
  </si>
  <si>
    <t>*</t>
  </si>
  <si>
    <t>IRRa - IRRb</t>
  </si>
  <si>
    <t>30.323 - -2.518</t>
  </si>
  <si>
    <t>10% - 5%</t>
  </si>
  <si>
    <t>Exercise 07</t>
  </si>
  <si>
    <t>Sales</t>
  </si>
  <si>
    <t>Exisitng Rs. Mn</t>
  </si>
  <si>
    <t>Variable cost</t>
  </si>
  <si>
    <t>2,400*85%</t>
  </si>
  <si>
    <t>New.Rs.Mn</t>
  </si>
  <si>
    <t>Additonal contribution</t>
  </si>
  <si>
    <t>450 - 360</t>
  </si>
  <si>
    <t>Benefit</t>
  </si>
  <si>
    <t>2,400*25%*15%</t>
  </si>
  <si>
    <t>Additonal cost</t>
  </si>
  <si>
    <t>Increase in debtors</t>
  </si>
  <si>
    <t>at Present</t>
  </si>
  <si>
    <t>2,400/12*1</t>
  </si>
  <si>
    <t>New debtors</t>
  </si>
  <si>
    <t>3,000/12*2</t>
  </si>
  <si>
    <t>Increase in inventory</t>
  </si>
  <si>
    <t>Increase in creditors</t>
  </si>
  <si>
    <t>Additonal working capital requirement</t>
  </si>
  <si>
    <t>Additonal finance cost</t>
  </si>
  <si>
    <t>380Mn*20%</t>
  </si>
  <si>
    <t>Cost</t>
  </si>
  <si>
    <t xml:space="preserve">Increase in profitability </t>
  </si>
  <si>
    <t>Accept the increse in credit period</t>
  </si>
  <si>
    <t>ROI = 90/380*100</t>
  </si>
  <si>
    <t>b)</t>
  </si>
  <si>
    <t>2,400/12*1 + 600/12*2</t>
  </si>
  <si>
    <t>180Mn*20%</t>
  </si>
  <si>
    <t>Exercise 08</t>
  </si>
  <si>
    <t>Exiting Rs.Mn</t>
  </si>
  <si>
    <t>New Rs.Mn</t>
  </si>
  <si>
    <t>Contribution</t>
  </si>
  <si>
    <t>Increase in contribution</t>
  </si>
  <si>
    <t>144-120</t>
  </si>
  <si>
    <t>Increse in finance cost</t>
  </si>
  <si>
    <t>Exiting receivables</t>
  </si>
  <si>
    <t>600/12</t>
  </si>
  <si>
    <t>New receivables</t>
  </si>
  <si>
    <t>720/12*2</t>
  </si>
  <si>
    <t>Increse in working capital</t>
  </si>
  <si>
    <t>70*12.5%</t>
  </si>
  <si>
    <t>Increase in profitability</t>
  </si>
  <si>
    <t>Accept the extended credit</t>
  </si>
  <si>
    <t>Exercise 09</t>
  </si>
  <si>
    <t>It is assumed that 360 days per annum</t>
  </si>
  <si>
    <t>12,000/360*90</t>
  </si>
  <si>
    <t>(12,000*50%/360*60) + (12,000*50%/360*10)</t>
  </si>
  <si>
    <t>Reduction in woorking capital</t>
  </si>
  <si>
    <t>Saving of finance cost</t>
  </si>
  <si>
    <t>1,833.33 * 20%</t>
  </si>
  <si>
    <t>Discounting cost</t>
  </si>
  <si>
    <t>12,000*50%*2%</t>
  </si>
  <si>
    <t>Increse in profitability</t>
  </si>
  <si>
    <t>Accept the discounting structure</t>
  </si>
  <si>
    <t>Exercise 10</t>
  </si>
  <si>
    <t>Increase in sales</t>
  </si>
  <si>
    <t>1,800*1.25</t>
  </si>
  <si>
    <t>Increase in variable cost</t>
  </si>
  <si>
    <t>C/S Ratio</t>
  </si>
  <si>
    <t>1,800*1.25*80%*75%</t>
  </si>
  <si>
    <t xml:space="preserve">Additional contribution </t>
  </si>
  <si>
    <t>(2,250-1,800)*40%</t>
  </si>
  <si>
    <t>Increase in cost</t>
  </si>
  <si>
    <t>Bad debts</t>
  </si>
  <si>
    <t>(2,250*3%)-18</t>
  </si>
  <si>
    <t>Additional Bad debts</t>
  </si>
  <si>
    <t>Additional finance cost</t>
  </si>
  <si>
    <t>Exiting debtors</t>
  </si>
  <si>
    <t>1,800/12*1</t>
  </si>
  <si>
    <t>2,250/12*2</t>
  </si>
  <si>
    <t>Increase in working capital</t>
  </si>
  <si>
    <t>Finance cost</t>
  </si>
  <si>
    <t>225*20%</t>
  </si>
  <si>
    <t>180-94.5</t>
  </si>
  <si>
    <t>Accept the relaxation of debtor period</t>
  </si>
  <si>
    <t>Exercise 11</t>
  </si>
  <si>
    <t>Exisitng cost of receivables (Our own collection division)</t>
  </si>
  <si>
    <t>Rs.1,500/360days*45days*13.5%</t>
  </si>
  <si>
    <t>Factor finance cost</t>
  </si>
  <si>
    <t>Premium</t>
  </si>
  <si>
    <t>Base rate</t>
  </si>
  <si>
    <t>OD Rate</t>
  </si>
  <si>
    <t>11%+2.5%</t>
  </si>
  <si>
    <t>Rs.1,500*0.5%</t>
  </si>
  <si>
    <t>Administration cost</t>
  </si>
  <si>
    <t>Exisitng cost of debtors management</t>
  </si>
  <si>
    <t>Cost of factoring</t>
  </si>
  <si>
    <t>Factor finance</t>
  </si>
  <si>
    <t>Rs.1,500*80%*30/360*14%</t>
  </si>
  <si>
    <t>Finance cost of balance 20% - OD</t>
  </si>
  <si>
    <t>Rs.1,500*20%*30/360*13.5%</t>
  </si>
  <si>
    <t>Annual fee</t>
  </si>
  <si>
    <t>Rs.1,500*2.5%</t>
  </si>
  <si>
    <t>Saving on factoring</t>
  </si>
  <si>
    <t>It is recommanded factoring arrangement</t>
  </si>
  <si>
    <t>It is assumed that factor is going bare the bad debts.</t>
  </si>
  <si>
    <t>Until factor pays (after 30 days) we have finance debtors with OD facility</t>
  </si>
  <si>
    <t>Exercise 12</t>
  </si>
  <si>
    <t>Calculate the % of cost of cash deiscount</t>
  </si>
  <si>
    <t>d/(100-d)*360/t</t>
  </si>
  <si>
    <t>2/100-2)*360/35</t>
  </si>
  <si>
    <t>t = duration from lost of cash discount (45-10)</t>
  </si>
  <si>
    <t>% of cost cash discount</t>
  </si>
  <si>
    <t>Refuse the discount</t>
  </si>
  <si>
    <t>Accept discount</t>
  </si>
  <si>
    <t>Payment to supplier</t>
  </si>
  <si>
    <t>100*.98</t>
  </si>
  <si>
    <t>Interest earning</t>
  </si>
  <si>
    <t>980*25%*35/360</t>
  </si>
  <si>
    <t>Net amount</t>
  </si>
  <si>
    <t>If we assume the invoice value is Rs.1,000 and return on investment is 25%</t>
  </si>
  <si>
    <t>Decision is to refuce the discount</t>
  </si>
  <si>
    <t>If we assume the invoice value is Rs.1,000 and return on investment is 20.99%</t>
  </si>
  <si>
    <t>980*20.99%*35/360</t>
  </si>
  <si>
    <t>Decision is indifferent</t>
  </si>
  <si>
    <t>Where the ROI is less than 20.99%, accpting discount is favorable.</t>
  </si>
  <si>
    <t>Exercise 13</t>
  </si>
  <si>
    <t>Total purchase cost where EOQ =500</t>
  </si>
  <si>
    <t>Purchase</t>
  </si>
  <si>
    <t>4,000 units * Rs.96,000</t>
  </si>
  <si>
    <t>Ordeing cost</t>
  </si>
  <si>
    <t>4,000/500* Rs.300,000</t>
  </si>
  <si>
    <t>Holding cost</t>
  </si>
  <si>
    <t>500/2*Rs.96,000*10%</t>
  </si>
  <si>
    <t>Total purchase cost where 1,000 units per order</t>
  </si>
  <si>
    <t>Discount</t>
  </si>
  <si>
    <t>4,000 units * Rs.96,000*8%</t>
  </si>
  <si>
    <t>4,000/1,000*Rs.300,000</t>
  </si>
  <si>
    <t>1,000/2*Rs.96,000*92%*10%</t>
  </si>
  <si>
    <t>Saving on bulk discount</t>
  </si>
  <si>
    <t>Accept the bulk discount of 8% and order 1,000 units per order</t>
  </si>
  <si>
    <t>Exercise 14</t>
  </si>
  <si>
    <t xml:space="preserve">Ordering cost </t>
  </si>
  <si>
    <t>Average Stock * Cost of holing per unit</t>
  </si>
  <si>
    <t>Demand / EOQ * Cost per order</t>
  </si>
  <si>
    <t>D/Q*Co</t>
  </si>
  <si>
    <t>Q/2*Ch</t>
  </si>
  <si>
    <t>Cost of inventory = D/Q*Co + Q/2*Ch</t>
  </si>
  <si>
    <t>2*D*CO</t>
  </si>
  <si>
    <t>CH</t>
  </si>
  <si>
    <t>EOQ (ignoring the bulk discount)</t>
  </si>
  <si>
    <t>2*D*Co</t>
  </si>
  <si>
    <t>Ch</t>
  </si>
  <si>
    <t>2*125*Rs.300,000</t>
  </si>
  <si>
    <t>Rs.30,000</t>
  </si>
  <si>
    <t>200,000*15%=Rs.30,000</t>
  </si>
  <si>
    <t>Inventory cost at EOQ of 50 units</t>
  </si>
  <si>
    <t xml:space="preserve">Ordering cost = </t>
  </si>
  <si>
    <t>125/50*300,000</t>
  </si>
  <si>
    <t>50/2*30,000</t>
  </si>
  <si>
    <t>Holding cost =</t>
  </si>
  <si>
    <t>Inventory cost at 60 units per order</t>
  </si>
  <si>
    <t>125/60*300,000</t>
  </si>
  <si>
    <t>60/2*30,000</t>
  </si>
  <si>
    <t>Discount =</t>
  </si>
  <si>
    <t>125units * Rs.200,000*3%</t>
  </si>
  <si>
    <t>Inventory cost at 90 units per order</t>
  </si>
  <si>
    <t>125/90*300,000</t>
  </si>
  <si>
    <t>90/2*30,000</t>
  </si>
  <si>
    <t>125units * Rs.200,000*5%</t>
  </si>
  <si>
    <t>It is recomanded to accept 5% discount by ordering 90 units per order</t>
  </si>
  <si>
    <t>Question 01 - Homework</t>
  </si>
  <si>
    <t>Question 01</t>
  </si>
  <si>
    <t>Rs. Mn</t>
  </si>
  <si>
    <t>Present</t>
  </si>
  <si>
    <t>B</t>
  </si>
  <si>
    <t>C</t>
  </si>
  <si>
    <t>W 1 Finance cost</t>
  </si>
  <si>
    <t>(-)Fixed cost</t>
  </si>
  <si>
    <t>Receiveble balance</t>
  </si>
  <si>
    <t>Investment in debtors</t>
  </si>
  <si>
    <t>Operating profit</t>
  </si>
  <si>
    <t>Cost of funds @ 20%</t>
  </si>
  <si>
    <t>Finance cost W1</t>
  </si>
  <si>
    <t>Net Profit</t>
  </si>
  <si>
    <t>Cost of Receiveble balance</t>
  </si>
  <si>
    <t>Advice -Present policy is continued</t>
  </si>
  <si>
    <t>Question 02</t>
  </si>
  <si>
    <t>EOQ</t>
  </si>
  <si>
    <t>2*480,000*128,000</t>
  </si>
  <si>
    <t>Annual demand</t>
  </si>
  <si>
    <t>40,000*12 = 480,000</t>
  </si>
  <si>
    <t>50+(5,000*0.1608)</t>
  </si>
  <si>
    <t>Effective interest Rate</t>
  </si>
  <si>
    <t>(1+i/n)^n-1</t>
  </si>
  <si>
    <t>(1+0.15/12)^12-1</t>
  </si>
  <si>
    <t>11,995Kg</t>
  </si>
  <si>
    <t>Max</t>
  </si>
  <si>
    <t>Min</t>
  </si>
  <si>
    <t>ROL</t>
  </si>
  <si>
    <t>= Max Usage * Max LT</t>
  </si>
  <si>
    <t>/2</t>
  </si>
  <si>
    <t>2,700*30</t>
  </si>
  <si>
    <t>Average</t>
  </si>
  <si>
    <t>Average*2</t>
  </si>
  <si>
    <t>20*2</t>
  </si>
  <si>
    <t>Kg</t>
  </si>
  <si>
    <t>Maximum Inventory Level</t>
  </si>
  <si>
    <t>= ROL + ROQ - (Min Use*Min LT)</t>
  </si>
  <si>
    <t>81,000 + 11,995 - (500*10)</t>
  </si>
  <si>
    <t>Minimum inventory level</t>
  </si>
  <si>
    <t>= ROL - (Ave. Use * Ave LT)</t>
  </si>
  <si>
    <t>81,000 - (1,600*20)</t>
  </si>
  <si>
    <t>2021  July Q-5</t>
  </si>
  <si>
    <t>Overall working capital management</t>
  </si>
  <si>
    <t>A)</t>
  </si>
  <si>
    <t>Company</t>
  </si>
  <si>
    <t>3.2/16*365</t>
  </si>
  <si>
    <t>Ave. Inv / COS *365</t>
  </si>
  <si>
    <t>GP Ratio 20%</t>
  </si>
  <si>
    <t>COS 80%</t>
  </si>
  <si>
    <t>20*80%</t>
  </si>
  <si>
    <t>3.4/20*365</t>
  </si>
  <si>
    <t>Ave. Deb/sales *365</t>
  </si>
  <si>
    <t>(-) Payable holding period</t>
  </si>
  <si>
    <t>1.4/16*365</t>
  </si>
  <si>
    <t>Ave.Pay/COS *365</t>
  </si>
  <si>
    <t>Length of cash operarating cycle</t>
  </si>
  <si>
    <t>B) Analysing the problem</t>
  </si>
  <si>
    <t>Problems</t>
  </si>
  <si>
    <t>Payable holding period</t>
  </si>
  <si>
    <t>Sales growth</t>
  </si>
  <si>
    <t>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</si>
</sst>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_(* #,##0.000_);_(* \(#,##0.000\);_(* &quot;-&quot;?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1" xfId="0" applyNumberFormat="1" applyBorder="1"/>
    <xf numFmtId="43" fontId="0" fillId="0" borderId="2" xfId="1" applyFont="1" applyBorder="1"/>
    <xf numFmtId="0" fontId="0" fillId="0" borderId="2" xfId="0" applyBorder="1"/>
    <xf numFmtId="0" fontId="5" fillId="0" borderId="0" xfId="0" applyFont="1"/>
    <xf numFmtId="0" fontId="0" fillId="0" borderId="0" xfId="0" quotePrefix="1"/>
    <xf numFmtId="0" fontId="0" fillId="0" borderId="0" xfId="0" applyFill="1" applyBorder="1"/>
    <xf numFmtId="10" fontId="0" fillId="0" borderId="0" xfId="0" applyNumberFormat="1"/>
    <xf numFmtId="10" fontId="0" fillId="0" borderId="0" xfId="0" applyNumberFormat="1" applyAlignment="1">
      <alignment horizontal="center"/>
    </xf>
    <xf numFmtId="43" fontId="6" fillId="0" borderId="0" xfId="1" applyFont="1"/>
    <xf numFmtId="43" fontId="6" fillId="0" borderId="0" xfId="0" applyNumberFormat="1" applyFont="1"/>
    <xf numFmtId="9" fontId="0" fillId="0" borderId="0" xfId="2" applyFont="1"/>
    <xf numFmtId="10" fontId="7" fillId="0" borderId="0" xfId="2" applyNumberFormat="1" applyFont="1"/>
    <xf numFmtId="10" fontId="5" fillId="0" borderId="0" xfId="2" applyNumberFormat="1" applyFont="1"/>
    <xf numFmtId="0" fontId="8" fillId="0" borderId="0" xfId="0" applyFont="1"/>
    <xf numFmtId="16" fontId="0" fillId="0" borderId="0" xfId="0" quotePrefix="1" applyNumberFormat="1" applyAlignment="1">
      <alignment horizontal="right"/>
    </xf>
    <xf numFmtId="164" fontId="0" fillId="0" borderId="0" xfId="1" applyNumberFormat="1" applyFont="1"/>
    <xf numFmtId="165" fontId="0" fillId="0" borderId="0" xfId="0" applyNumberFormat="1"/>
    <xf numFmtId="0" fontId="0" fillId="0" borderId="2" xfId="0" applyBorder="1" applyAlignment="1">
      <alignment horizontal="center"/>
    </xf>
    <xf numFmtId="9" fontId="0" fillId="0" borderId="0" xfId="0" applyNumberFormat="1"/>
    <xf numFmtId="10" fontId="0" fillId="0" borderId="3" xfId="2" applyNumberFormat="1" applyFont="1" applyBorder="1"/>
    <xf numFmtId="166" fontId="0" fillId="0" borderId="2" xfId="1" applyNumberFormat="1" applyFont="1" applyBorder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0" fontId="0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43" fontId="4" fillId="0" borderId="0" xfId="1" applyFont="1"/>
    <xf numFmtId="43" fontId="4" fillId="0" borderId="1" xfId="0" applyNumberFormat="1" applyFont="1" applyBorder="1"/>
    <xf numFmtId="10" fontId="4" fillId="0" borderId="1" xfId="2" applyNumberFormat="1" applyFont="1" applyBorder="1"/>
    <xf numFmtId="43" fontId="2" fillId="0" borderId="0" xfId="0" applyNumberFormat="1" applyFont="1"/>
    <xf numFmtId="0" fontId="0" fillId="0" borderId="0" xfId="0" applyFont="1"/>
    <xf numFmtId="43" fontId="2" fillId="0" borderId="0" xfId="1" applyFont="1"/>
    <xf numFmtId="43" fontId="0" fillId="0" borderId="4" xfId="0" applyNumberFormat="1" applyBorder="1"/>
    <xf numFmtId="43" fontId="0" fillId="0" borderId="3" xfId="1" applyFont="1" applyBorder="1"/>
    <xf numFmtId="0" fontId="9" fillId="0" borderId="0" xfId="0" applyFont="1"/>
    <xf numFmtId="0" fontId="8" fillId="0" borderId="0" xfId="0" applyFont="1" applyAlignment="1">
      <alignment horizontal="right"/>
    </xf>
    <xf numFmtId="43" fontId="0" fillId="0" borderId="0" xfId="1" applyFont="1" applyAlignment="1">
      <alignment horizontal="right"/>
    </xf>
    <xf numFmtId="43" fontId="2" fillId="0" borderId="1" xfId="0" applyNumberFormat="1" applyFont="1" applyBorder="1"/>
    <xf numFmtId="0" fontId="3" fillId="0" borderId="3" xfId="0" applyFont="1" applyBorder="1"/>
    <xf numFmtId="0" fontId="2" fillId="3" borderId="0" xfId="0" applyFont="1" applyFill="1"/>
    <xf numFmtId="0" fontId="0" fillId="3" borderId="0" xfId="0" applyFill="1"/>
    <xf numFmtId="43" fontId="1" fillId="0" borderId="3" xfId="1" applyFont="1" applyBorder="1"/>
    <xf numFmtId="0" fontId="1" fillId="0" borderId="3" xfId="0" applyFont="1" applyBorder="1"/>
    <xf numFmtId="0" fontId="0" fillId="0" borderId="3" xfId="0" applyBorder="1"/>
    <xf numFmtId="0" fontId="9" fillId="0" borderId="0" xfId="0" applyFont="1" applyAlignment="1">
      <alignment horizontal="right"/>
    </xf>
    <xf numFmtId="43" fontId="0" fillId="0" borderId="2" xfId="0" applyNumberFormat="1" applyBorder="1"/>
    <xf numFmtId="43" fontId="0" fillId="0" borderId="1" xfId="1" applyFont="1" applyBorder="1"/>
    <xf numFmtId="0" fontId="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6</xdr:row>
      <xdr:rowOff>66675</xdr:rowOff>
    </xdr:from>
    <xdr:to>
      <xdr:col>12</xdr:col>
      <xdr:colOff>276225</xdr:colOff>
      <xdr:row>11</xdr:row>
      <xdr:rowOff>123825</xdr:rowOff>
    </xdr:to>
    <xdr:sp macro="" textlink="">
      <xdr:nvSpPr>
        <xdr:cNvPr id="2" name="Moon 1">
          <a:extLst>
            <a:ext uri="{FF2B5EF4-FFF2-40B4-BE49-F238E27FC236}">
              <a16:creationId xmlns:a16="http://schemas.microsoft.com/office/drawing/2014/main" xmlns="" id="{FE2F8F75-0E02-9987-BE38-8CD5EE51D9CB}"/>
            </a:ext>
          </a:extLst>
        </xdr:cNvPr>
        <xdr:cNvSpPr/>
      </xdr:nvSpPr>
      <xdr:spPr>
        <a:xfrm rot="16200000">
          <a:off x="7181850" y="514350"/>
          <a:ext cx="1009650" cy="2400300"/>
        </a:xfrm>
        <a:prstGeom prst="moon">
          <a:avLst>
            <a:gd name="adj" fmla="val 72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</a:t>
          </a:r>
        </a:p>
      </xdr:txBody>
    </xdr:sp>
    <xdr:clientData/>
  </xdr:twoCellAnchor>
  <xdr:twoCellAnchor>
    <xdr:from>
      <xdr:col>14</xdr:col>
      <xdr:colOff>190500</xdr:colOff>
      <xdr:row>6</xdr:row>
      <xdr:rowOff>76200</xdr:rowOff>
    </xdr:from>
    <xdr:to>
      <xdr:col>18</xdr:col>
      <xdr:colOff>152400</xdr:colOff>
      <xdr:row>11</xdr:row>
      <xdr:rowOff>133350</xdr:rowOff>
    </xdr:to>
    <xdr:sp macro="" textlink="">
      <xdr:nvSpPr>
        <xdr:cNvPr id="3" name="Moon 2">
          <a:extLst>
            <a:ext uri="{FF2B5EF4-FFF2-40B4-BE49-F238E27FC236}">
              <a16:creationId xmlns:a16="http://schemas.microsoft.com/office/drawing/2014/main" xmlns="" id="{CF3281CB-DF42-404D-A087-61F731AE3E74}"/>
            </a:ext>
          </a:extLst>
        </xdr:cNvPr>
        <xdr:cNvSpPr/>
      </xdr:nvSpPr>
      <xdr:spPr>
        <a:xfrm rot="16200000">
          <a:off x="10715625" y="523875"/>
          <a:ext cx="1009650" cy="2400300"/>
        </a:xfrm>
        <a:prstGeom prst="moon">
          <a:avLst>
            <a:gd name="adj" fmla="val 72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314325</xdr:colOff>
      <xdr:row>2</xdr:row>
      <xdr:rowOff>95250</xdr:rowOff>
    </xdr:from>
    <xdr:to>
      <xdr:col>16</xdr:col>
      <xdr:colOff>152400</xdr:colOff>
      <xdr:row>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77E6C291-2D4E-9BE4-9B62-10BCB8D1A8FA}"/>
            </a:ext>
          </a:extLst>
        </xdr:cNvPr>
        <xdr:cNvSpPr/>
      </xdr:nvSpPr>
      <xdr:spPr>
        <a:xfrm>
          <a:off x="7705725" y="476250"/>
          <a:ext cx="3495675" cy="95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314325</xdr:colOff>
      <xdr:row>3</xdr:row>
      <xdr:rowOff>0</xdr:rowOff>
    </xdr:from>
    <xdr:to>
      <xdr:col>10</xdr:col>
      <xdr:colOff>257175</xdr:colOff>
      <xdr:row>6</xdr:row>
      <xdr:rowOff>66675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7D865E63-50B9-4A39-FA1F-707B910CF545}"/>
            </a:ext>
          </a:extLst>
        </xdr:cNvPr>
        <xdr:cNvCxnSpPr>
          <a:endCxn id="2" idx="0"/>
        </xdr:cNvCxnSpPr>
      </xdr:nvCxnSpPr>
      <xdr:spPr>
        <a:xfrm flipH="1">
          <a:off x="6486525" y="571500"/>
          <a:ext cx="1162050" cy="63817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</xdr:row>
      <xdr:rowOff>9525</xdr:rowOff>
    </xdr:from>
    <xdr:to>
      <xdr:col>12</xdr:col>
      <xdr:colOff>276225</xdr:colOff>
      <xdr:row>6</xdr:row>
      <xdr:rowOff>66675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9AF9E8D5-4807-4EBC-BABE-010F37011369}"/>
            </a:ext>
          </a:extLst>
        </xdr:cNvPr>
        <xdr:cNvCxnSpPr>
          <a:endCxn id="2" idx="2"/>
        </xdr:cNvCxnSpPr>
      </xdr:nvCxnSpPr>
      <xdr:spPr>
        <a:xfrm>
          <a:off x="7677150" y="581025"/>
          <a:ext cx="1209675" cy="6286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200025</xdr:colOff>
      <xdr:row>3</xdr:row>
      <xdr:rowOff>0</xdr:rowOff>
    </xdr:from>
    <xdr:to>
      <xdr:col>16</xdr:col>
      <xdr:colOff>142875</xdr:colOff>
      <xdr:row>6</xdr:row>
      <xdr:rowOff>66675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A3E8AEC2-7837-45F7-9FCD-4A5F7E61E991}"/>
            </a:ext>
          </a:extLst>
        </xdr:cNvPr>
        <xdr:cNvCxnSpPr/>
      </xdr:nvCxnSpPr>
      <xdr:spPr>
        <a:xfrm flipH="1">
          <a:off x="10029825" y="571500"/>
          <a:ext cx="1162050" cy="63817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2</xdr:row>
      <xdr:rowOff>142875</xdr:rowOff>
    </xdr:from>
    <xdr:to>
      <xdr:col>18</xdr:col>
      <xdr:colOff>152400</xdr:colOff>
      <xdr:row>6</xdr:row>
      <xdr:rowOff>76200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C549FC3A-FC55-43E7-AE21-EE918347174A}"/>
            </a:ext>
          </a:extLst>
        </xdr:cNvPr>
        <xdr:cNvCxnSpPr>
          <a:stCxn id="4" idx="3"/>
          <a:endCxn id="3" idx="2"/>
        </xdr:cNvCxnSpPr>
      </xdr:nvCxnSpPr>
      <xdr:spPr>
        <a:xfrm>
          <a:off x="11201400" y="523875"/>
          <a:ext cx="1219200" cy="695325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161925</xdr:colOff>
      <xdr:row>1</xdr:row>
      <xdr:rowOff>9525</xdr:rowOff>
    </xdr:from>
    <xdr:to>
      <xdr:col>13</xdr:col>
      <xdr:colOff>285750</xdr:colOff>
      <xdr:row>3</xdr:row>
      <xdr:rowOff>19050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42D32F9F-8DF7-4F39-D5F8-A64DFEE48B9D}"/>
            </a:ext>
          </a:extLst>
        </xdr:cNvPr>
        <xdr:cNvSpPr/>
      </xdr:nvSpPr>
      <xdr:spPr>
        <a:xfrm>
          <a:off x="9382125" y="200025"/>
          <a:ext cx="123825" cy="390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257175</xdr:colOff>
      <xdr:row>8</xdr:row>
      <xdr:rowOff>152400</xdr:rowOff>
    </xdr:from>
    <xdr:to>
      <xdr:col>11</xdr:col>
      <xdr:colOff>304800</xdr:colOff>
      <xdr:row>10</xdr:row>
      <xdr:rowOff>114300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85E5C050-5D90-EC36-2297-EA75F6CB21C6}"/>
            </a:ext>
          </a:extLst>
        </xdr:cNvPr>
        <xdr:cNvSpPr txBox="1"/>
      </xdr:nvSpPr>
      <xdr:spPr>
        <a:xfrm>
          <a:off x="7038975" y="1676400"/>
          <a:ext cx="12668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Profitabi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tability</a:t>
          </a:r>
          <a:endParaRPr lang="en-US" sz="1100"/>
        </a:p>
      </xdr:txBody>
    </xdr:sp>
    <xdr:clientData/>
  </xdr:twoCellAnchor>
  <xdr:twoCellAnchor>
    <xdr:from>
      <xdr:col>15</xdr:col>
      <xdr:colOff>219075</xdr:colOff>
      <xdr:row>8</xdr:row>
      <xdr:rowOff>95250</xdr:rowOff>
    </xdr:from>
    <xdr:to>
      <xdr:col>17</xdr:col>
      <xdr:colOff>266700</xdr:colOff>
      <xdr:row>10</xdr:row>
      <xdr:rowOff>57150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529DE8F5-D3D3-491F-8C27-EDF870D2BCA0}"/>
            </a:ext>
          </a:extLst>
        </xdr:cNvPr>
        <xdr:cNvSpPr txBox="1"/>
      </xdr:nvSpPr>
      <xdr:spPr>
        <a:xfrm>
          <a:off x="10658475" y="1619250"/>
          <a:ext cx="12668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Liquidity</a:t>
          </a:r>
          <a:endParaRPr lang="en-US" sz="1100"/>
        </a:p>
      </xdr:txBody>
    </xdr:sp>
    <xdr:clientData/>
  </xdr:twoCellAnchor>
  <xdr:twoCellAnchor>
    <xdr:from>
      <xdr:col>2</xdr:col>
      <xdr:colOff>0</xdr:colOff>
      <xdr:row>24</xdr:row>
      <xdr:rowOff>76200</xdr:rowOff>
    </xdr:from>
    <xdr:to>
      <xdr:col>2</xdr:col>
      <xdr:colOff>0</xdr:colOff>
      <xdr:row>38</xdr:row>
      <xdr:rowOff>19050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xmlns="" id="{AD9B5749-0C62-3D2C-DE51-A5F26E038087}"/>
            </a:ext>
          </a:extLst>
        </xdr:cNvPr>
        <xdr:cNvCxnSpPr/>
      </xdr:nvCxnSpPr>
      <xdr:spPr>
        <a:xfrm flipV="1">
          <a:off x="1543050" y="4648200"/>
          <a:ext cx="0" cy="26098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180975</xdr:rowOff>
    </xdr:from>
    <xdr:to>
      <xdr:col>6</xdr:col>
      <xdr:colOff>85725</xdr:colOff>
      <xdr:row>37</xdr:row>
      <xdr:rowOff>180975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xmlns="" id="{6E377AA3-E3DE-41D8-8C70-4DA7F092F800}"/>
            </a:ext>
          </a:extLst>
        </xdr:cNvPr>
        <xdr:cNvCxnSpPr/>
      </xdr:nvCxnSpPr>
      <xdr:spPr>
        <a:xfrm>
          <a:off x="1543050" y="7229475"/>
          <a:ext cx="31432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28</xdr:row>
      <xdr:rowOff>47625</xdr:rowOff>
    </xdr:from>
    <xdr:to>
      <xdr:col>5</xdr:col>
      <xdr:colOff>590550</xdr:colOff>
      <xdr:row>34</xdr:row>
      <xdr:rowOff>124526</xdr:rowOff>
    </xdr:to>
    <xdr:sp macro="" textlink="">
      <xdr:nvSpPr>
        <xdr:cNvPr id="27" name="Freeform: Shape 26">
          <a:extLst>
            <a:ext uri="{FF2B5EF4-FFF2-40B4-BE49-F238E27FC236}">
              <a16:creationId xmlns:a16="http://schemas.microsoft.com/office/drawing/2014/main" xmlns="" id="{D6FBC6D4-82CB-93A3-39A4-43E4413E5EDC}"/>
            </a:ext>
          </a:extLst>
        </xdr:cNvPr>
        <xdr:cNvSpPr/>
      </xdr:nvSpPr>
      <xdr:spPr>
        <a:xfrm>
          <a:off x="1562100" y="5381625"/>
          <a:ext cx="3019425" cy="1219901"/>
        </a:xfrm>
        <a:custGeom>
          <a:avLst/>
          <a:gdLst>
            <a:gd name="connsiteX0" fmla="*/ 0 w 3019425"/>
            <a:gd name="connsiteY0" fmla="*/ 904875 h 1219901"/>
            <a:gd name="connsiteX1" fmla="*/ 9525 w 3019425"/>
            <a:gd name="connsiteY1" fmla="*/ 800100 h 1219901"/>
            <a:gd name="connsiteX2" fmla="*/ 142875 w 3019425"/>
            <a:gd name="connsiteY2" fmla="*/ 447675 h 1219901"/>
            <a:gd name="connsiteX3" fmla="*/ 161925 w 3019425"/>
            <a:gd name="connsiteY3" fmla="*/ 381000 h 1219901"/>
            <a:gd name="connsiteX4" fmla="*/ 200025 w 3019425"/>
            <a:gd name="connsiteY4" fmla="*/ 295275 h 1219901"/>
            <a:gd name="connsiteX5" fmla="*/ 238125 w 3019425"/>
            <a:gd name="connsiteY5" fmla="*/ 285750 h 1219901"/>
            <a:gd name="connsiteX6" fmla="*/ 276225 w 3019425"/>
            <a:gd name="connsiteY6" fmla="*/ 428625 h 1219901"/>
            <a:gd name="connsiteX7" fmla="*/ 285750 w 3019425"/>
            <a:gd name="connsiteY7" fmla="*/ 476250 h 1219901"/>
            <a:gd name="connsiteX8" fmla="*/ 304800 w 3019425"/>
            <a:gd name="connsiteY8" fmla="*/ 552450 h 1219901"/>
            <a:gd name="connsiteX9" fmla="*/ 314325 w 3019425"/>
            <a:gd name="connsiteY9" fmla="*/ 600075 h 1219901"/>
            <a:gd name="connsiteX10" fmla="*/ 342900 w 3019425"/>
            <a:gd name="connsiteY10" fmla="*/ 647700 h 1219901"/>
            <a:gd name="connsiteX11" fmla="*/ 371475 w 3019425"/>
            <a:gd name="connsiteY11" fmla="*/ 638175 h 1219901"/>
            <a:gd name="connsiteX12" fmla="*/ 390525 w 3019425"/>
            <a:gd name="connsiteY12" fmla="*/ 609600 h 1219901"/>
            <a:gd name="connsiteX13" fmla="*/ 409575 w 3019425"/>
            <a:gd name="connsiteY13" fmla="*/ 523875 h 1219901"/>
            <a:gd name="connsiteX14" fmla="*/ 428625 w 3019425"/>
            <a:gd name="connsiteY14" fmla="*/ 485775 h 1219901"/>
            <a:gd name="connsiteX15" fmla="*/ 447675 w 3019425"/>
            <a:gd name="connsiteY15" fmla="*/ 400050 h 1219901"/>
            <a:gd name="connsiteX16" fmla="*/ 457200 w 3019425"/>
            <a:gd name="connsiteY16" fmla="*/ 352425 h 1219901"/>
            <a:gd name="connsiteX17" fmla="*/ 504825 w 3019425"/>
            <a:gd name="connsiteY17" fmla="*/ 276225 h 1219901"/>
            <a:gd name="connsiteX18" fmla="*/ 523875 w 3019425"/>
            <a:gd name="connsiteY18" fmla="*/ 238125 h 1219901"/>
            <a:gd name="connsiteX19" fmla="*/ 581025 w 3019425"/>
            <a:gd name="connsiteY19" fmla="*/ 180975 h 1219901"/>
            <a:gd name="connsiteX20" fmla="*/ 638175 w 3019425"/>
            <a:gd name="connsiteY20" fmla="*/ 209550 h 1219901"/>
            <a:gd name="connsiteX21" fmla="*/ 695325 w 3019425"/>
            <a:gd name="connsiteY21" fmla="*/ 295275 h 1219901"/>
            <a:gd name="connsiteX22" fmla="*/ 771525 w 3019425"/>
            <a:gd name="connsiteY22" fmla="*/ 381000 h 1219901"/>
            <a:gd name="connsiteX23" fmla="*/ 819150 w 3019425"/>
            <a:gd name="connsiteY23" fmla="*/ 390525 h 1219901"/>
            <a:gd name="connsiteX24" fmla="*/ 981075 w 3019425"/>
            <a:gd name="connsiteY24" fmla="*/ 361950 h 1219901"/>
            <a:gd name="connsiteX25" fmla="*/ 1009650 w 3019425"/>
            <a:gd name="connsiteY25" fmla="*/ 352425 h 1219901"/>
            <a:gd name="connsiteX26" fmla="*/ 1038225 w 3019425"/>
            <a:gd name="connsiteY26" fmla="*/ 304800 h 1219901"/>
            <a:gd name="connsiteX27" fmla="*/ 1066800 w 3019425"/>
            <a:gd name="connsiteY27" fmla="*/ 266700 h 1219901"/>
            <a:gd name="connsiteX28" fmla="*/ 1114425 w 3019425"/>
            <a:gd name="connsiteY28" fmla="*/ 180975 h 1219901"/>
            <a:gd name="connsiteX29" fmla="*/ 1190625 w 3019425"/>
            <a:gd name="connsiteY29" fmla="*/ 76200 h 1219901"/>
            <a:gd name="connsiteX30" fmla="*/ 1247775 w 3019425"/>
            <a:gd name="connsiteY30" fmla="*/ 9525 h 1219901"/>
            <a:gd name="connsiteX31" fmla="*/ 1285875 w 3019425"/>
            <a:gd name="connsiteY31" fmla="*/ 76200 h 1219901"/>
            <a:gd name="connsiteX32" fmla="*/ 1304925 w 3019425"/>
            <a:gd name="connsiteY32" fmla="*/ 104775 h 1219901"/>
            <a:gd name="connsiteX33" fmla="*/ 1343025 w 3019425"/>
            <a:gd name="connsiteY33" fmla="*/ 180975 h 1219901"/>
            <a:gd name="connsiteX34" fmla="*/ 1343025 w 3019425"/>
            <a:gd name="connsiteY34" fmla="*/ 180975 h 1219901"/>
            <a:gd name="connsiteX35" fmla="*/ 1371600 w 3019425"/>
            <a:gd name="connsiteY35" fmla="*/ 247650 h 1219901"/>
            <a:gd name="connsiteX36" fmla="*/ 1409700 w 3019425"/>
            <a:gd name="connsiteY36" fmla="*/ 304800 h 1219901"/>
            <a:gd name="connsiteX37" fmla="*/ 1438275 w 3019425"/>
            <a:gd name="connsiteY37" fmla="*/ 314325 h 1219901"/>
            <a:gd name="connsiteX38" fmla="*/ 1476375 w 3019425"/>
            <a:gd name="connsiteY38" fmla="*/ 285750 h 1219901"/>
            <a:gd name="connsiteX39" fmla="*/ 1495425 w 3019425"/>
            <a:gd name="connsiteY39" fmla="*/ 257175 h 1219901"/>
            <a:gd name="connsiteX40" fmla="*/ 1533525 w 3019425"/>
            <a:gd name="connsiteY40" fmla="*/ 247650 h 1219901"/>
            <a:gd name="connsiteX41" fmla="*/ 1571625 w 3019425"/>
            <a:gd name="connsiteY41" fmla="*/ 333375 h 1219901"/>
            <a:gd name="connsiteX42" fmla="*/ 1590675 w 3019425"/>
            <a:gd name="connsiteY42" fmla="*/ 400050 h 1219901"/>
            <a:gd name="connsiteX43" fmla="*/ 1600200 w 3019425"/>
            <a:gd name="connsiteY43" fmla="*/ 428625 h 1219901"/>
            <a:gd name="connsiteX44" fmla="*/ 1609725 w 3019425"/>
            <a:gd name="connsiteY44" fmla="*/ 495300 h 1219901"/>
            <a:gd name="connsiteX45" fmla="*/ 1628775 w 3019425"/>
            <a:gd name="connsiteY45" fmla="*/ 561975 h 1219901"/>
            <a:gd name="connsiteX46" fmla="*/ 1647825 w 3019425"/>
            <a:gd name="connsiteY46" fmla="*/ 638175 h 1219901"/>
            <a:gd name="connsiteX47" fmla="*/ 1666875 w 3019425"/>
            <a:gd name="connsiteY47" fmla="*/ 714375 h 1219901"/>
            <a:gd name="connsiteX48" fmla="*/ 1685925 w 3019425"/>
            <a:gd name="connsiteY48" fmla="*/ 742950 h 1219901"/>
            <a:gd name="connsiteX49" fmla="*/ 1704975 w 3019425"/>
            <a:gd name="connsiteY49" fmla="*/ 790575 h 1219901"/>
            <a:gd name="connsiteX50" fmla="*/ 1733550 w 3019425"/>
            <a:gd name="connsiteY50" fmla="*/ 838200 h 1219901"/>
            <a:gd name="connsiteX51" fmla="*/ 1743075 w 3019425"/>
            <a:gd name="connsiteY51" fmla="*/ 866775 h 1219901"/>
            <a:gd name="connsiteX52" fmla="*/ 1781175 w 3019425"/>
            <a:gd name="connsiteY52" fmla="*/ 962025 h 1219901"/>
            <a:gd name="connsiteX53" fmla="*/ 1800225 w 3019425"/>
            <a:gd name="connsiteY53" fmla="*/ 1019175 h 1219901"/>
            <a:gd name="connsiteX54" fmla="*/ 1819275 w 3019425"/>
            <a:gd name="connsiteY54" fmla="*/ 1066800 h 1219901"/>
            <a:gd name="connsiteX55" fmla="*/ 1838325 w 3019425"/>
            <a:gd name="connsiteY55" fmla="*/ 1133475 h 1219901"/>
            <a:gd name="connsiteX56" fmla="*/ 1866900 w 3019425"/>
            <a:gd name="connsiteY56" fmla="*/ 1171575 h 1219901"/>
            <a:gd name="connsiteX57" fmla="*/ 1905000 w 3019425"/>
            <a:gd name="connsiteY57" fmla="*/ 1219200 h 1219901"/>
            <a:gd name="connsiteX58" fmla="*/ 1914525 w 3019425"/>
            <a:gd name="connsiteY58" fmla="*/ 1190625 h 1219901"/>
            <a:gd name="connsiteX59" fmla="*/ 1924050 w 3019425"/>
            <a:gd name="connsiteY59" fmla="*/ 1095375 h 1219901"/>
            <a:gd name="connsiteX60" fmla="*/ 1943100 w 3019425"/>
            <a:gd name="connsiteY60" fmla="*/ 1038225 h 1219901"/>
            <a:gd name="connsiteX61" fmla="*/ 1981200 w 3019425"/>
            <a:gd name="connsiteY61" fmla="*/ 952500 h 1219901"/>
            <a:gd name="connsiteX62" fmla="*/ 2019300 w 3019425"/>
            <a:gd name="connsiteY62" fmla="*/ 895350 h 1219901"/>
            <a:gd name="connsiteX63" fmla="*/ 2066925 w 3019425"/>
            <a:gd name="connsiteY63" fmla="*/ 790575 h 1219901"/>
            <a:gd name="connsiteX64" fmla="*/ 2105025 w 3019425"/>
            <a:gd name="connsiteY64" fmla="*/ 723900 h 1219901"/>
            <a:gd name="connsiteX65" fmla="*/ 2152650 w 3019425"/>
            <a:gd name="connsiteY65" fmla="*/ 628650 h 1219901"/>
            <a:gd name="connsiteX66" fmla="*/ 2181225 w 3019425"/>
            <a:gd name="connsiteY66" fmla="*/ 581025 h 1219901"/>
            <a:gd name="connsiteX67" fmla="*/ 2209800 w 3019425"/>
            <a:gd name="connsiteY67" fmla="*/ 523875 h 1219901"/>
            <a:gd name="connsiteX68" fmla="*/ 2238375 w 3019425"/>
            <a:gd name="connsiteY68" fmla="*/ 514350 h 1219901"/>
            <a:gd name="connsiteX69" fmla="*/ 2257425 w 3019425"/>
            <a:gd name="connsiteY69" fmla="*/ 581025 h 1219901"/>
            <a:gd name="connsiteX70" fmla="*/ 2324100 w 3019425"/>
            <a:gd name="connsiteY70" fmla="*/ 685800 h 1219901"/>
            <a:gd name="connsiteX71" fmla="*/ 2362200 w 3019425"/>
            <a:gd name="connsiteY71" fmla="*/ 657225 h 1219901"/>
            <a:gd name="connsiteX72" fmla="*/ 2381250 w 3019425"/>
            <a:gd name="connsiteY72" fmla="*/ 581025 h 1219901"/>
            <a:gd name="connsiteX73" fmla="*/ 2400300 w 3019425"/>
            <a:gd name="connsiteY73" fmla="*/ 542925 h 1219901"/>
            <a:gd name="connsiteX74" fmla="*/ 2409825 w 3019425"/>
            <a:gd name="connsiteY74" fmla="*/ 485775 h 1219901"/>
            <a:gd name="connsiteX75" fmla="*/ 2438400 w 3019425"/>
            <a:gd name="connsiteY75" fmla="*/ 371475 h 1219901"/>
            <a:gd name="connsiteX76" fmla="*/ 2447925 w 3019425"/>
            <a:gd name="connsiteY76" fmla="*/ 295275 h 1219901"/>
            <a:gd name="connsiteX77" fmla="*/ 2476500 w 3019425"/>
            <a:gd name="connsiteY77" fmla="*/ 200025 h 1219901"/>
            <a:gd name="connsiteX78" fmla="*/ 2524125 w 3019425"/>
            <a:gd name="connsiteY78" fmla="*/ 266700 h 1219901"/>
            <a:gd name="connsiteX79" fmla="*/ 2552700 w 3019425"/>
            <a:gd name="connsiteY79" fmla="*/ 238125 h 1219901"/>
            <a:gd name="connsiteX80" fmla="*/ 2571750 w 3019425"/>
            <a:gd name="connsiteY80" fmla="*/ 180975 h 1219901"/>
            <a:gd name="connsiteX81" fmla="*/ 2600325 w 3019425"/>
            <a:gd name="connsiteY81" fmla="*/ 133350 h 1219901"/>
            <a:gd name="connsiteX82" fmla="*/ 2638425 w 3019425"/>
            <a:gd name="connsiteY82" fmla="*/ 9525 h 1219901"/>
            <a:gd name="connsiteX83" fmla="*/ 2667000 w 3019425"/>
            <a:gd name="connsiteY83" fmla="*/ 0 h 1219901"/>
            <a:gd name="connsiteX84" fmla="*/ 2695575 w 3019425"/>
            <a:gd name="connsiteY84" fmla="*/ 38100 h 1219901"/>
            <a:gd name="connsiteX85" fmla="*/ 2705100 w 3019425"/>
            <a:gd name="connsiteY85" fmla="*/ 66675 h 1219901"/>
            <a:gd name="connsiteX86" fmla="*/ 2733675 w 3019425"/>
            <a:gd name="connsiteY86" fmla="*/ 104775 h 1219901"/>
            <a:gd name="connsiteX87" fmla="*/ 2752725 w 3019425"/>
            <a:gd name="connsiteY87" fmla="*/ 161925 h 1219901"/>
            <a:gd name="connsiteX88" fmla="*/ 2771775 w 3019425"/>
            <a:gd name="connsiteY88" fmla="*/ 209550 h 1219901"/>
            <a:gd name="connsiteX89" fmla="*/ 2781300 w 3019425"/>
            <a:gd name="connsiteY89" fmla="*/ 257175 h 1219901"/>
            <a:gd name="connsiteX90" fmla="*/ 2809875 w 3019425"/>
            <a:gd name="connsiteY90" fmla="*/ 304800 h 1219901"/>
            <a:gd name="connsiteX91" fmla="*/ 2847975 w 3019425"/>
            <a:gd name="connsiteY91" fmla="*/ 400050 h 1219901"/>
            <a:gd name="connsiteX92" fmla="*/ 2867025 w 3019425"/>
            <a:gd name="connsiteY92" fmla="*/ 447675 h 1219901"/>
            <a:gd name="connsiteX93" fmla="*/ 2895600 w 3019425"/>
            <a:gd name="connsiteY93" fmla="*/ 495300 h 1219901"/>
            <a:gd name="connsiteX94" fmla="*/ 2914650 w 3019425"/>
            <a:gd name="connsiteY94" fmla="*/ 533400 h 1219901"/>
            <a:gd name="connsiteX95" fmla="*/ 2943225 w 3019425"/>
            <a:gd name="connsiteY95" fmla="*/ 561975 h 1219901"/>
            <a:gd name="connsiteX96" fmla="*/ 2952750 w 3019425"/>
            <a:gd name="connsiteY96" fmla="*/ 590550 h 1219901"/>
            <a:gd name="connsiteX97" fmla="*/ 2962275 w 3019425"/>
            <a:gd name="connsiteY97" fmla="*/ 628650 h 1219901"/>
            <a:gd name="connsiteX98" fmla="*/ 3009900 w 3019425"/>
            <a:gd name="connsiteY98" fmla="*/ 685800 h 1219901"/>
            <a:gd name="connsiteX99" fmla="*/ 3019425 w 3019425"/>
            <a:gd name="connsiteY99" fmla="*/ 723900 h 12199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</a:cxnLst>
          <a:rect l="l" t="t" r="r" b="b"/>
          <a:pathLst>
            <a:path w="3019425" h="1219901">
              <a:moveTo>
                <a:pt x="0" y="904875"/>
              </a:moveTo>
              <a:cubicBezTo>
                <a:pt x="3175" y="869950"/>
                <a:pt x="-935" y="833573"/>
                <a:pt x="9525" y="800100"/>
              </a:cubicBezTo>
              <a:cubicBezTo>
                <a:pt x="46989" y="680214"/>
                <a:pt x="112412" y="569528"/>
                <a:pt x="142875" y="447675"/>
              </a:cubicBezTo>
              <a:cubicBezTo>
                <a:pt x="172652" y="328568"/>
                <a:pt x="134596" y="476653"/>
                <a:pt x="161925" y="381000"/>
              </a:cubicBezTo>
              <a:cubicBezTo>
                <a:pt x="170944" y="349434"/>
                <a:pt x="171781" y="319484"/>
                <a:pt x="200025" y="295275"/>
              </a:cubicBezTo>
              <a:cubicBezTo>
                <a:pt x="209964" y="286756"/>
                <a:pt x="225425" y="288925"/>
                <a:pt x="238125" y="285750"/>
              </a:cubicBezTo>
              <a:cubicBezTo>
                <a:pt x="255661" y="347125"/>
                <a:pt x="261431" y="364519"/>
                <a:pt x="276225" y="428625"/>
              </a:cubicBezTo>
              <a:cubicBezTo>
                <a:pt x="279865" y="444400"/>
                <a:pt x="282110" y="460475"/>
                <a:pt x="285750" y="476250"/>
              </a:cubicBezTo>
              <a:cubicBezTo>
                <a:pt x="291637" y="501761"/>
                <a:pt x="299665" y="526777"/>
                <a:pt x="304800" y="552450"/>
              </a:cubicBezTo>
              <a:cubicBezTo>
                <a:pt x="307975" y="568325"/>
                <a:pt x="308312" y="585044"/>
                <a:pt x="314325" y="600075"/>
              </a:cubicBezTo>
              <a:cubicBezTo>
                <a:pt x="321201" y="617264"/>
                <a:pt x="333375" y="631825"/>
                <a:pt x="342900" y="647700"/>
              </a:cubicBezTo>
              <a:cubicBezTo>
                <a:pt x="352425" y="644525"/>
                <a:pt x="363635" y="644447"/>
                <a:pt x="371475" y="638175"/>
              </a:cubicBezTo>
              <a:cubicBezTo>
                <a:pt x="380414" y="631024"/>
                <a:pt x="386016" y="620122"/>
                <a:pt x="390525" y="609600"/>
              </a:cubicBezTo>
              <a:cubicBezTo>
                <a:pt x="399682" y="588235"/>
                <a:pt x="402794" y="544218"/>
                <a:pt x="409575" y="523875"/>
              </a:cubicBezTo>
              <a:cubicBezTo>
                <a:pt x="414065" y="510405"/>
                <a:pt x="422275" y="498475"/>
                <a:pt x="428625" y="485775"/>
              </a:cubicBezTo>
              <a:cubicBezTo>
                <a:pt x="457353" y="342136"/>
                <a:pt x="420772" y="521114"/>
                <a:pt x="447675" y="400050"/>
              </a:cubicBezTo>
              <a:cubicBezTo>
                <a:pt x="451187" y="384246"/>
                <a:pt x="452080" y="367784"/>
                <a:pt x="457200" y="352425"/>
              </a:cubicBezTo>
              <a:cubicBezTo>
                <a:pt x="470991" y="311052"/>
                <a:pt x="481548" y="313468"/>
                <a:pt x="504825" y="276225"/>
              </a:cubicBezTo>
              <a:cubicBezTo>
                <a:pt x="512350" y="264184"/>
                <a:pt x="515005" y="249213"/>
                <a:pt x="523875" y="238125"/>
              </a:cubicBezTo>
              <a:cubicBezTo>
                <a:pt x="540705" y="217088"/>
                <a:pt x="581025" y="180975"/>
                <a:pt x="581025" y="180975"/>
              </a:cubicBezTo>
              <a:cubicBezTo>
                <a:pt x="600075" y="190500"/>
                <a:pt x="621544" y="196245"/>
                <a:pt x="638175" y="209550"/>
              </a:cubicBezTo>
              <a:cubicBezTo>
                <a:pt x="676254" y="240013"/>
                <a:pt x="673393" y="258722"/>
                <a:pt x="695325" y="295275"/>
              </a:cubicBezTo>
              <a:cubicBezTo>
                <a:pt x="715493" y="328889"/>
                <a:pt x="733648" y="364166"/>
                <a:pt x="771525" y="381000"/>
              </a:cubicBezTo>
              <a:cubicBezTo>
                <a:pt x="786319" y="387575"/>
                <a:pt x="803275" y="387350"/>
                <a:pt x="819150" y="390525"/>
              </a:cubicBezTo>
              <a:cubicBezTo>
                <a:pt x="873125" y="381000"/>
                <a:pt x="927330" y="372699"/>
                <a:pt x="981075" y="361950"/>
              </a:cubicBezTo>
              <a:cubicBezTo>
                <a:pt x="990920" y="359981"/>
                <a:pt x="1002550" y="359525"/>
                <a:pt x="1009650" y="352425"/>
              </a:cubicBezTo>
              <a:cubicBezTo>
                <a:pt x="1022741" y="339334"/>
                <a:pt x="1027956" y="320204"/>
                <a:pt x="1038225" y="304800"/>
              </a:cubicBezTo>
              <a:cubicBezTo>
                <a:pt x="1047031" y="291591"/>
                <a:pt x="1058480" y="280220"/>
                <a:pt x="1066800" y="266700"/>
              </a:cubicBezTo>
              <a:cubicBezTo>
                <a:pt x="1083932" y="238860"/>
                <a:pt x="1096610" y="208383"/>
                <a:pt x="1114425" y="180975"/>
              </a:cubicBezTo>
              <a:cubicBezTo>
                <a:pt x="1137960" y="144767"/>
                <a:pt x="1166670" y="112132"/>
                <a:pt x="1190625" y="76200"/>
              </a:cubicBezTo>
              <a:cubicBezTo>
                <a:pt x="1234208" y="10826"/>
                <a:pt x="1178825" y="61237"/>
                <a:pt x="1247775" y="9525"/>
              </a:cubicBezTo>
              <a:cubicBezTo>
                <a:pt x="1302060" y="63810"/>
                <a:pt x="1257093" y="9042"/>
                <a:pt x="1285875" y="76200"/>
              </a:cubicBezTo>
              <a:cubicBezTo>
                <a:pt x="1290384" y="86722"/>
                <a:pt x="1299443" y="94725"/>
                <a:pt x="1304925" y="104775"/>
              </a:cubicBezTo>
              <a:cubicBezTo>
                <a:pt x="1318523" y="129706"/>
                <a:pt x="1330325" y="155575"/>
                <a:pt x="1343025" y="180975"/>
              </a:cubicBezTo>
              <a:lnTo>
                <a:pt x="1343025" y="180975"/>
              </a:lnTo>
              <a:cubicBezTo>
                <a:pt x="1352879" y="210536"/>
                <a:pt x="1353945" y="218225"/>
                <a:pt x="1371600" y="247650"/>
              </a:cubicBezTo>
              <a:cubicBezTo>
                <a:pt x="1383380" y="267283"/>
                <a:pt x="1387980" y="297560"/>
                <a:pt x="1409700" y="304800"/>
              </a:cubicBezTo>
              <a:lnTo>
                <a:pt x="1438275" y="314325"/>
              </a:lnTo>
              <a:cubicBezTo>
                <a:pt x="1450975" y="304800"/>
                <a:pt x="1465150" y="296975"/>
                <a:pt x="1476375" y="285750"/>
              </a:cubicBezTo>
              <a:cubicBezTo>
                <a:pt x="1484470" y="277655"/>
                <a:pt x="1485900" y="263525"/>
                <a:pt x="1495425" y="257175"/>
              </a:cubicBezTo>
              <a:cubicBezTo>
                <a:pt x="1506317" y="249913"/>
                <a:pt x="1520825" y="250825"/>
                <a:pt x="1533525" y="247650"/>
              </a:cubicBezTo>
              <a:cubicBezTo>
                <a:pt x="1555172" y="290943"/>
                <a:pt x="1553382" y="284728"/>
                <a:pt x="1571625" y="333375"/>
              </a:cubicBezTo>
              <a:cubicBezTo>
                <a:pt x="1585328" y="369915"/>
                <a:pt x="1578665" y="358017"/>
                <a:pt x="1590675" y="400050"/>
              </a:cubicBezTo>
              <a:cubicBezTo>
                <a:pt x="1593433" y="409704"/>
                <a:pt x="1597025" y="419100"/>
                <a:pt x="1600200" y="428625"/>
              </a:cubicBezTo>
              <a:cubicBezTo>
                <a:pt x="1603375" y="450850"/>
                <a:pt x="1605709" y="473211"/>
                <a:pt x="1609725" y="495300"/>
              </a:cubicBezTo>
              <a:cubicBezTo>
                <a:pt x="1618378" y="542893"/>
                <a:pt x="1617646" y="521170"/>
                <a:pt x="1628775" y="561975"/>
              </a:cubicBezTo>
              <a:cubicBezTo>
                <a:pt x="1635664" y="587234"/>
                <a:pt x="1642690" y="612502"/>
                <a:pt x="1647825" y="638175"/>
              </a:cubicBezTo>
              <a:cubicBezTo>
                <a:pt x="1651448" y="656289"/>
                <a:pt x="1657112" y="694849"/>
                <a:pt x="1666875" y="714375"/>
              </a:cubicBezTo>
              <a:cubicBezTo>
                <a:pt x="1671995" y="724614"/>
                <a:pt x="1680805" y="732711"/>
                <a:pt x="1685925" y="742950"/>
              </a:cubicBezTo>
              <a:cubicBezTo>
                <a:pt x="1693571" y="758243"/>
                <a:pt x="1697329" y="775282"/>
                <a:pt x="1704975" y="790575"/>
              </a:cubicBezTo>
              <a:cubicBezTo>
                <a:pt x="1713254" y="807134"/>
                <a:pt x="1725271" y="821641"/>
                <a:pt x="1733550" y="838200"/>
              </a:cubicBezTo>
              <a:cubicBezTo>
                <a:pt x="1738040" y="847180"/>
                <a:pt x="1739471" y="857404"/>
                <a:pt x="1743075" y="866775"/>
              </a:cubicBezTo>
              <a:cubicBezTo>
                <a:pt x="1755351" y="898691"/>
                <a:pt x="1770361" y="929584"/>
                <a:pt x="1781175" y="962025"/>
              </a:cubicBezTo>
              <a:cubicBezTo>
                <a:pt x="1787525" y="981075"/>
                <a:pt x="1792767" y="1000531"/>
                <a:pt x="1800225" y="1019175"/>
              </a:cubicBezTo>
              <a:cubicBezTo>
                <a:pt x="1806575" y="1035050"/>
                <a:pt x="1813868" y="1050580"/>
                <a:pt x="1819275" y="1066800"/>
              </a:cubicBezTo>
              <a:cubicBezTo>
                <a:pt x="1822987" y="1077935"/>
                <a:pt x="1830987" y="1120633"/>
                <a:pt x="1838325" y="1133475"/>
              </a:cubicBezTo>
              <a:cubicBezTo>
                <a:pt x="1846201" y="1147258"/>
                <a:pt x="1857375" y="1158875"/>
                <a:pt x="1866900" y="1171575"/>
              </a:cubicBezTo>
              <a:cubicBezTo>
                <a:pt x="1870910" y="1183604"/>
                <a:pt x="1878487" y="1225828"/>
                <a:pt x="1905000" y="1219200"/>
              </a:cubicBezTo>
              <a:cubicBezTo>
                <a:pt x="1914740" y="1216765"/>
                <a:pt x="1911350" y="1200150"/>
                <a:pt x="1914525" y="1190625"/>
              </a:cubicBezTo>
              <a:cubicBezTo>
                <a:pt x="1917700" y="1158875"/>
                <a:pt x="1918170" y="1126737"/>
                <a:pt x="1924050" y="1095375"/>
              </a:cubicBezTo>
              <a:cubicBezTo>
                <a:pt x="1927751" y="1075638"/>
                <a:pt x="1935642" y="1056869"/>
                <a:pt x="1943100" y="1038225"/>
              </a:cubicBezTo>
              <a:cubicBezTo>
                <a:pt x="1954565" y="1009563"/>
                <a:pt x="1965182" y="979196"/>
                <a:pt x="1981200" y="952500"/>
              </a:cubicBezTo>
              <a:cubicBezTo>
                <a:pt x="1992980" y="932867"/>
                <a:pt x="2008588" y="915585"/>
                <a:pt x="2019300" y="895350"/>
              </a:cubicBezTo>
              <a:cubicBezTo>
                <a:pt x="2037250" y="861445"/>
                <a:pt x="2049768" y="824889"/>
                <a:pt x="2066925" y="790575"/>
              </a:cubicBezTo>
              <a:cubicBezTo>
                <a:pt x="2078373" y="767680"/>
                <a:pt x="2093048" y="746523"/>
                <a:pt x="2105025" y="723900"/>
              </a:cubicBezTo>
              <a:cubicBezTo>
                <a:pt x="2121634" y="692528"/>
                <a:pt x="2135945" y="659971"/>
                <a:pt x="2152650" y="628650"/>
              </a:cubicBezTo>
              <a:cubicBezTo>
                <a:pt x="2161362" y="612315"/>
                <a:pt x="2172946" y="597584"/>
                <a:pt x="2181225" y="581025"/>
              </a:cubicBezTo>
              <a:cubicBezTo>
                <a:pt x="2192729" y="558018"/>
                <a:pt x="2187052" y="542073"/>
                <a:pt x="2209800" y="523875"/>
              </a:cubicBezTo>
              <a:cubicBezTo>
                <a:pt x="2217640" y="517603"/>
                <a:pt x="2228850" y="517525"/>
                <a:pt x="2238375" y="514350"/>
              </a:cubicBezTo>
              <a:cubicBezTo>
                <a:pt x="2244725" y="536575"/>
                <a:pt x="2248320" y="559780"/>
                <a:pt x="2257425" y="581025"/>
              </a:cubicBezTo>
              <a:cubicBezTo>
                <a:pt x="2276582" y="625724"/>
                <a:pt x="2296799" y="649399"/>
                <a:pt x="2324100" y="685800"/>
              </a:cubicBezTo>
              <a:cubicBezTo>
                <a:pt x="2336800" y="676275"/>
                <a:pt x="2354598" y="671162"/>
                <a:pt x="2362200" y="657225"/>
              </a:cubicBezTo>
              <a:cubicBezTo>
                <a:pt x="2374737" y="634240"/>
                <a:pt x="2369541" y="604443"/>
                <a:pt x="2381250" y="581025"/>
              </a:cubicBezTo>
              <a:lnTo>
                <a:pt x="2400300" y="542925"/>
              </a:lnTo>
              <a:cubicBezTo>
                <a:pt x="2403475" y="523875"/>
                <a:pt x="2405635" y="504628"/>
                <a:pt x="2409825" y="485775"/>
              </a:cubicBezTo>
              <a:cubicBezTo>
                <a:pt x="2418344" y="447438"/>
                <a:pt x="2430698" y="409985"/>
                <a:pt x="2438400" y="371475"/>
              </a:cubicBezTo>
              <a:cubicBezTo>
                <a:pt x="2443420" y="346374"/>
                <a:pt x="2442905" y="320376"/>
                <a:pt x="2447925" y="295275"/>
              </a:cubicBezTo>
              <a:cubicBezTo>
                <a:pt x="2453377" y="268015"/>
                <a:pt x="2466770" y="229214"/>
                <a:pt x="2476500" y="200025"/>
              </a:cubicBezTo>
              <a:cubicBezTo>
                <a:pt x="2481222" y="209469"/>
                <a:pt x="2504817" y="266700"/>
                <a:pt x="2524125" y="266700"/>
              </a:cubicBezTo>
              <a:cubicBezTo>
                <a:pt x="2537595" y="266700"/>
                <a:pt x="2543175" y="247650"/>
                <a:pt x="2552700" y="238125"/>
              </a:cubicBezTo>
              <a:cubicBezTo>
                <a:pt x="2559050" y="219075"/>
                <a:pt x="2563441" y="199256"/>
                <a:pt x="2571750" y="180975"/>
              </a:cubicBezTo>
              <a:cubicBezTo>
                <a:pt x="2579411" y="164121"/>
                <a:pt x="2593679" y="150629"/>
                <a:pt x="2600325" y="133350"/>
              </a:cubicBezTo>
              <a:cubicBezTo>
                <a:pt x="2605805" y="119101"/>
                <a:pt x="2621221" y="30170"/>
                <a:pt x="2638425" y="9525"/>
              </a:cubicBezTo>
              <a:cubicBezTo>
                <a:pt x="2644853" y="1812"/>
                <a:pt x="2657475" y="3175"/>
                <a:pt x="2667000" y="0"/>
              </a:cubicBezTo>
              <a:cubicBezTo>
                <a:pt x="2676525" y="12700"/>
                <a:pt x="2687699" y="24317"/>
                <a:pt x="2695575" y="38100"/>
              </a:cubicBezTo>
              <a:cubicBezTo>
                <a:pt x="2700556" y="46817"/>
                <a:pt x="2700119" y="57958"/>
                <a:pt x="2705100" y="66675"/>
              </a:cubicBezTo>
              <a:cubicBezTo>
                <a:pt x="2712976" y="80458"/>
                <a:pt x="2724150" y="92075"/>
                <a:pt x="2733675" y="104775"/>
              </a:cubicBezTo>
              <a:cubicBezTo>
                <a:pt x="2740025" y="123825"/>
                <a:pt x="2745863" y="143054"/>
                <a:pt x="2752725" y="161925"/>
              </a:cubicBezTo>
              <a:cubicBezTo>
                <a:pt x="2758568" y="177993"/>
                <a:pt x="2766862" y="193173"/>
                <a:pt x="2771775" y="209550"/>
              </a:cubicBezTo>
              <a:cubicBezTo>
                <a:pt x="2776427" y="225057"/>
                <a:pt x="2775287" y="242144"/>
                <a:pt x="2781300" y="257175"/>
              </a:cubicBezTo>
              <a:cubicBezTo>
                <a:pt x="2788176" y="274364"/>
                <a:pt x="2802046" y="288024"/>
                <a:pt x="2809875" y="304800"/>
              </a:cubicBezTo>
              <a:cubicBezTo>
                <a:pt x="2824336" y="335788"/>
                <a:pt x="2835275" y="368300"/>
                <a:pt x="2847975" y="400050"/>
              </a:cubicBezTo>
              <a:cubicBezTo>
                <a:pt x="2854325" y="415925"/>
                <a:pt x="2858228" y="433014"/>
                <a:pt x="2867025" y="447675"/>
              </a:cubicBezTo>
              <a:cubicBezTo>
                <a:pt x="2876550" y="463550"/>
                <a:pt x="2886609" y="479116"/>
                <a:pt x="2895600" y="495300"/>
              </a:cubicBezTo>
              <a:cubicBezTo>
                <a:pt x="2902496" y="507712"/>
                <a:pt x="2906397" y="521846"/>
                <a:pt x="2914650" y="533400"/>
              </a:cubicBezTo>
              <a:cubicBezTo>
                <a:pt x="2922480" y="544361"/>
                <a:pt x="2933700" y="552450"/>
                <a:pt x="2943225" y="561975"/>
              </a:cubicBezTo>
              <a:cubicBezTo>
                <a:pt x="2946400" y="571500"/>
                <a:pt x="2949992" y="580896"/>
                <a:pt x="2952750" y="590550"/>
              </a:cubicBezTo>
              <a:cubicBezTo>
                <a:pt x="2956346" y="603137"/>
                <a:pt x="2957118" y="616618"/>
                <a:pt x="2962275" y="628650"/>
              </a:cubicBezTo>
              <a:cubicBezTo>
                <a:pt x="2972221" y="651857"/>
                <a:pt x="2992736" y="668636"/>
                <a:pt x="3009900" y="685800"/>
              </a:cubicBezTo>
              <a:lnTo>
                <a:pt x="3019425" y="72390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914400</xdr:colOff>
      <xdr:row>28</xdr:row>
      <xdr:rowOff>0</xdr:rowOff>
    </xdr:from>
    <xdr:to>
      <xdr:col>6</xdr:col>
      <xdr:colOff>400050</xdr:colOff>
      <xdr:row>28</xdr:row>
      <xdr:rowOff>9525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BDACEB55-5A64-3515-3C78-47AD1D93517D}"/>
            </a:ext>
          </a:extLst>
        </xdr:cNvPr>
        <xdr:cNvCxnSpPr/>
      </xdr:nvCxnSpPr>
      <xdr:spPr>
        <a:xfrm flipV="1">
          <a:off x="1524000" y="5334000"/>
          <a:ext cx="3476625" cy="9525"/>
        </a:xfrm>
        <a:prstGeom prst="line">
          <a:avLst/>
        </a:prstGeom>
        <a:ln w="28575">
          <a:prstDash val="lg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34</xdr:row>
      <xdr:rowOff>114300</xdr:rowOff>
    </xdr:from>
    <xdr:to>
      <xdr:col>6</xdr:col>
      <xdr:colOff>457200</xdr:colOff>
      <xdr:row>34</xdr:row>
      <xdr:rowOff>123825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8FDB4DFA-1B02-420F-AA4C-555EC763B361}"/>
            </a:ext>
          </a:extLst>
        </xdr:cNvPr>
        <xdr:cNvCxnSpPr/>
      </xdr:nvCxnSpPr>
      <xdr:spPr>
        <a:xfrm flipV="1">
          <a:off x="1581150" y="6591300"/>
          <a:ext cx="3476625" cy="9525"/>
        </a:xfrm>
        <a:prstGeom prst="line">
          <a:avLst/>
        </a:prstGeom>
        <a:ln w="28575">
          <a:prstDash val="lg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34</xdr:row>
      <xdr:rowOff>152400</xdr:rowOff>
    </xdr:from>
    <xdr:to>
      <xdr:col>7</xdr:col>
      <xdr:colOff>342900</xdr:colOff>
      <xdr:row>38</xdr:row>
      <xdr:rowOff>38100</xdr:rowOff>
    </xdr:to>
    <xdr:sp macro="" textlink="">
      <xdr:nvSpPr>
        <xdr:cNvPr id="33" name="Right Brace 32">
          <a:extLst>
            <a:ext uri="{FF2B5EF4-FFF2-40B4-BE49-F238E27FC236}">
              <a16:creationId xmlns:a16="http://schemas.microsoft.com/office/drawing/2014/main" xmlns="" id="{DBC08D4C-428F-21EE-57C5-CB91E0691A9E}"/>
            </a:ext>
          </a:extLst>
        </xdr:cNvPr>
        <xdr:cNvSpPr/>
      </xdr:nvSpPr>
      <xdr:spPr>
        <a:xfrm>
          <a:off x="5124450" y="6629400"/>
          <a:ext cx="428625" cy="6477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57150</xdr:colOff>
      <xdr:row>28</xdr:row>
      <xdr:rowOff>19050</xdr:rowOff>
    </xdr:from>
    <xdr:to>
      <xdr:col>7</xdr:col>
      <xdr:colOff>352425</xdr:colOff>
      <xdr:row>34</xdr:row>
      <xdr:rowOff>0</xdr:rowOff>
    </xdr:to>
    <xdr:sp macro="" textlink="">
      <xdr:nvSpPr>
        <xdr:cNvPr id="34" name="Right Brace 33">
          <a:extLst>
            <a:ext uri="{FF2B5EF4-FFF2-40B4-BE49-F238E27FC236}">
              <a16:creationId xmlns:a16="http://schemas.microsoft.com/office/drawing/2014/main" xmlns="" id="{33D5041F-98C2-5DB7-8C55-ABD0379F19DF}"/>
            </a:ext>
          </a:extLst>
        </xdr:cNvPr>
        <xdr:cNvSpPr/>
      </xdr:nvSpPr>
      <xdr:spPr>
        <a:xfrm>
          <a:off x="5267325" y="5353050"/>
          <a:ext cx="295275" cy="112395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719183</xdr:colOff>
      <xdr:row>42</xdr:row>
      <xdr:rowOff>1637</xdr:rowOff>
    </xdr:from>
    <xdr:to>
      <xdr:col>4</xdr:col>
      <xdr:colOff>896438</xdr:colOff>
      <xdr:row>43</xdr:row>
      <xdr:rowOff>154093</xdr:rowOff>
    </xdr:to>
    <xdr:sp macro="" textlink="">
      <xdr:nvSpPr>
        <xdr:cNvPr id="35" name="Arrow: Curved Left 34">
          <a:extLst>
            <a:ext uri="{FF2B5EF4-FFF2-40B4-BE49-F238E27FC236}">
              <a16:creationId xmlns:a16="http://schemas.microsoft.com/office/drawing/2014/main" xmlns="" id="{755C4ED3-B2AC-EF28-9784-9B8E9A4A1D25}"/>
            </a:ext>
          </a:extLst>
        </xdr:cNvPr>
        <xdr:cNvSpPr/>
      </xdr:nvSpPr>
      <xdr:spPr>
        <a:xfrm rot="16200000">
          <a:off x="3322383" y="7704487"/>
          <a:ext cx="342956" cy="939255"/>
        </a:xfrm>
        <a:prstGeom prst="curvedLeftArrow">
          <a:avLst>
            <a:gd name="adj1" fmla="val 13184"/>
            <a:gd name="adj2" fmla="val 59376"/>
            <a:gd name="adj3" fmla="val 343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251720</xdr:colOff>
      <xdr:row>43</xdr:row>
      <xdr:rowOff>89784</xdr:rowOff>
    </xdr:from>
    <xdr:to>
      <xdr:col>5</xdr:col>
      <xdr:colOff>569619</xdr:colOff>
      <xdr:row>47</xdr:row>
      <xdr:rowOff>133563</xdr:rowOff>
    </xdr:to>
    <xdr:sp macro="" textlink="">
      <xdr:nvSpPr>
        <xdr:cNvPr id="36" name="Arrow: Curved Left 35">
          <a:extLst>
            <a:ext uri="{FF2B5EF4-FFF2-40B4-BE49-F238E27FC236}">
              <a16:creationId xmlns:a16="http://schemas.microsoft.com/office/drawing/2014/main" xmlns="" id="{C07A3E08-840F-4708-AF54-9A5A8CF1DB15}"/>
            </a:ext>
          </a:extLst>
        </xdr:cNvPr>
        <xdr:cNvSpPr/>
      </xdr:nvSpPr>
      <xdr:spPr>
        <a:xfrm rot="18957464">
          <a:off x="4242695" y="8281284"/>
          <a:ext cx="317899" cy="805779"/>
        </a:xfrm>
        <a:prstGeom prst="curvedLeftArrow">
          <a:avLst>
            <a:gd name="adj1" fmla="val 13184"/>
            <a:gd name="adj2" fmla="val 59376"/>
            <a:gd name="adj3" fmla="val 343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270770</xdr:colOff>
      <xdr:row>47</xdr:row>
      <xdr:rowOff>185034</xdr:rowOff>
    </xdr:from>
    <xdr:to>
      <xdr:col>5</xdr:col>
      <xdr:colOff>588669</xdr:colOff>
      <xdr:row>52</xdr:row>
      <xdr:rowOff>38313</xdr:rowOff>
    </xdr:to>
    <xdr:sp macro="" textlink="">
      <xdr:nvSpPr>
        <xdr:cNvPr id="37" name="Arrow: Curved Left 36">
          <a:extLst>
            <a:ext uri="{FF2B5EF4-FFF2-40B4-BE49-F238E27FC236}">
              <a16:creationId xmlns:a16="http://schemas.microsoft.com/office/drawing/2014/main" xmlns="" id="{2F27D4A3-CD54-4639-A94E-02264A709C8C}"/>
            </a:ext>
          </a:extLst>
        </xdr:cNvPr>
        <xdr:cNvSpPr/>
      </xdr:nvSpPr>
      <xdr:spPr>
        <a:xfrm rot="989380">
          <a:off x="4261745" y="9138534"/>
          <a:ext cx="317899" cy="805779"/>
        </a:xfrm>
        <a:prstGeom prst="curvedLeftArrow">
          <a:avLst>
            <a:gd name="adj1" fmla="val 13184"/>
            <a:gd name="adj2" fmla="val 59376"/>
            <a:gd name="adj3" fmla="val 343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553611</xdr:colOff>
      <xdr:row>51</xdr:row>
      <xdr:rowOff>171451</xdr:rowOff>
    </xdr:from>
    <xdr:to>
      <xdr:col>4</xdr:col>
      <xdr:colOff>874293</xdr:colOff>
      <xdr:row>54</xdr:row>
      <xdr:rowOff>47154</xdr:rowOff>
    </xdr:to>
    <xdr:sp macro="" textlink="">
      <xdr:nvSpPr>
        <xdr:cNvPr id="38" name="Arrow: Curved Left 37">
          <a:extLst>
            <a:ext uri="{FF2B5EF4-FFF2-40B4-BE49-F238E27FC236}">
              <a16:creationId xmlns:a16="http://schemas.microsoft.com/office/drawing/2014/main" xmlns="" id="{CAC67C94-C2C4-4408-85A2-0951CD9A1B04}"/>
            </a:ext>
          </a:extLst>
        </xdr:cNvPr>
        <xdr:cNvSpPr/>
      </xdr:nvSpPr>
      <xdr:spPr>
        <a:xfrm rot="5731132">
          <a:off x="3176400" y="9569212"/>
          <a:ext cx="447203" cy="1082682"/>
        </a:xfrm>
        <a:prstGeom prst="curvedLeftArrow">
          <a:avLst>
            <a:gd name="adj1" fmla="val 13184"/>
            <a:gd name="adj2" fmla="val 59376"/>
            <a:gd name="adj3" fmla="val 343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164022</xdr:colOff>
      <xdr:row>47</xdr:row>
      <xdr:rowOff>37467</xdr:rowOff>
    </xdr:from>
    <xdr:to>
      <xdr:col>3</xdr:col>
      <xdr:colOff>695442</xdr:colOff>
      <xdr:row>51</xdr:row>
      <xdr:rowOff>158726</xdr:rowOff>
    </xdr:to>
    <xdr:sp macro="" textlink="">
      <xdr:nvSpPr>
        <xdr:cNvPr id="39" name="Arrow: Curved Left 38">
          <a:extLst>
            <a:ext uri="{FF2B5EF4-FFF2-40B4-BE49-F238E27FC236}">
              <a16:creationId xmlns:a16="http://schemas.microsoft.com/office/drawing/2014/main" xmlns="" id="{31B1FBF3-482A-47F2-B023-62F9E15D57D1}"/>
            </a:ext>
          </a:extLst>
        </xdr:cNvPr>
        <xdr:cNvSpPr/>
      </xdr:nvSpPr>
      <xdr:spPr>
        <a:xfrm rot="9830026">
          <a:off x="2469072" y="8990967"/>
          <a:ext cx="531420" cy="883259"/>
        </a:xfrm>
        <a:prstGeom prst="curvedLeftArrow">
          <a:avLst>
            <a:gd name="adj1" fmla="val 13184"/>
            <a:gd name="adj2" fmla="val 59376"/>
            <a:gd name="adj3" fmla="val 343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116483</xdr:colOff>
      <xdr:row>43</xdr:row>
      <xdr:rowOff>185263</xdr:rowOff>
    </xdr:from>
    <xdr:to>
      <xdr:col>3</xdr:col>
      <xdr:colOff>399809</xdr:colOff>
      <xdr:row>47</xdr:row>
      <xdr:rowOff>81021</xdr:rowOff>
    </xdr:to>
    <xdr:sp macro="" textlink="">
      <xdr:nvSpPr>
        <xdr:cNvPr id="40" name="Arrow: Curved Left 39">
          <a:extLst>
            <a:ext uri="{FF2B5EF4-FFF2-40B4-BE49-F238E27FC236}">
              <a16:creationId xmlns:a16="http://schemas.microsoft.com/office/drawing/2014/main" xmlns="" id="{1EFD6A04-64E5-4880-8936-65944B093203}"/>
            </a:ext>
          </a:extLst>
        </xdr:cNvPr>
        <xdr:cNvSpPr/>
      </xdr:nvSpPr>
      <xdr:spPr>
        <a:xfrm rot="10800000">
          <a:off x="2421533" y="8376763"/>
          <a:ext cx="283326" cy="657758"/>
        </a:xfrm>
        <a:prstGeom prst="curvedLeftArrow">
          <a:avLst>
            <a:gd name="adj1" fmla="val 13184"/>
            <a:gd name="adj2" fmla="val 59376"/>
            <a:gd name="adj3" fmla="val 343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352424</xdr:colOff>
      <xdr:row>19</xdr:row>
      <xdr:rowOff>114300</xdr:rowOff>
    </xdr:to>
    <xdr:sp macro="" textlink="">
      <xdr:nvSpPr>
        <xdr:cNvPr id="25" name="Rectangle 24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142874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552449</xdr:colOff>
      <xdr:row>19</xdr:row>
      <xdr:rowOff>104775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476249</xdr:colOff>
      <xdr:row>19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457199</xdr:colOff>
      <xdr:row>19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457199</xdr:colOff>
      <xdr:row>19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6</xdr:row>
      <xdr:rowOff>110339</xdr:rowOff>
    </xdr:from>
    <xdr:to>
      <xdr:col>9</xdr:col>
      <xdr:colOff>409575</xdr:colOff>
      <xdr:row>8</xdr:row>
      <xdr:rowOff>186848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xmlns="" id="{C0BA7882-FA5B-ABCB-B141-D6CEC1E5493E}"/>
            </a:ext>
          </a:extLst>
        </xdr:cNvPr>
        <xdr:cNvSpPr/>
      </xdr:nvSpPr>
      <xdr:spPr>
        <a:xfrm>
          <a:off x="4733925" y="1253339"/>
          <a:ext cx="1447800" cy="457509"/>
        </a:xfrm>
        <a:custGeom>
          <a:avLst/>
          <a:gdLst>
            <a:gd name="connsiteX0" fmla="*/ 0 w 1447800"/>
            <a:gd name="connsiteY0" fmla="*/ 451636 h 457509"/>
            <a:gd name="connsiteX1" fmla="*/ 228600 w 1447800"/>
            <a:gd name="connsiteY1" fmla="*/ 432586 h 457509"/>
            <a:gd name="connsiteX2" fmla="*/ 238125 w 1447800"/>
            <a:gd name="connsiteY2" fmla="*/ 270661 h 457509"/>
            <a:gd name="connsiteX3" fmla="*/ 257175 w 1447800"/>
            <a:gd name="connsiteY3" fmla="*/ 223036 h 457509"/>
            <a:gd name="connsiteX4" fmla="*/ 266700 w 1447800"/>
            <a:gd name="connsiteY4" fmla="*/ 194461 h 457509"/>
            <a:gd name="connsiteX5" fmla="*/ 295275 w 1447800"/>
            <a:gd name="connsiteY5" fmla="*/ 99211 h 457509"/>
            <a:gd name="connsiteX6" fmla="*/ 314325 w 1447800"/>
            <a:gd name="connsiteY6" fmla="*/ 61111 h 457509"/>
            <a:gd name="connsiteX7" fmla="*/ 352425 w 1447800"/>
            <a:gd name="connsiteY7" fmla="*/ 42061 h 457509"/>
            <a:gd name="connsiteX8" fmla="*/ 647700 w 1447800"/>
            <a:gd name="connsiteY8" fmla="*/ 32536 h 457509"/>
            <a:gd name="connsiteX9" fmla="*/ 1181100 w 1447800"/>
            <a:gd name="connsiteY9" fmla="*/ 23011 h 457509"/>
            <a:gd name="connsiteX10" fmla="*/ 1276350 w 1447800"/>
            <a:gd name="connsiteY10" fmla="*/ 42061 h 457509"/>
            <a:gd name="connsiteX11" fmla="*/ 1323975 w 1447800"/>
            <a:gd name="connsiteY11" fmla="*/ 51586 h 457509"/>
            <a:gd name="connsiteX12" fmla="*/ 1447800 w 1447800"/>
            <a:gd name="connsiteY12" fmla="*/ 51586 h 457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447800" h="457509">
              <a:moveTo>
                <a:pt x="0" y="451636"/>
              </a:moveTo>
              <a:cubicBezTo>
                <a:pt x="76200" y="445286"/>
                <a:pt x="167722" y="478853"/>
                <a:pt x="228600" y="432586"/>
              </a:cubicBezTo>
              <a:cubicBezTo>
                <a:pt x="271647" y="399870"/>
                <a:pt x="230820" y="324234"/>
                <a:pt x="238125" y="270661"/>
              </a:cubicBezTo>
              <a:cubicBezTo>
                <a:pt x="240435" y="253720"/>
                <a:pt x="251172" y="239045"/>
                <a:pt x="257175" y="223036"/>
              </a:cubicBezTo>
              <a:cubicBezTo>
                <a:pt x="260700" y="213635"/>
                <a:pt x="263942" y="204115"/>
                <a:pt x="266700" y="194461"/>
              </a:cubicBezTo>
              <a:cubicBezTo>
                <a:pt x="275815" y="162558"/>
                <a:pt x="280185" y="129392"/>
                <a:pt x="295275" y="99211"/>
              </a:cubicBezTo>
              <a:cubicBezTo>
                <a:pt x="301625" y="86511"/>
                <a:pt x="304285" y="71151"/>
                <a:pt x="314325" y="61111"/>
              </a:cubicBezTo>
              <a:cubicBezTo>
                <a:pt x="324365" y="51071"/>
                <a:pt x="338278" y="43274"/>
                <a:pt x="352425" y="42061"/>
              </a:cubicBezTo>
              <a:cubicBezTo>
                <a:pt x="450541" y="33651"/>
                <a:pt x="549275" y="35711"/>
                <a:pt x="647700" y="32536"/>
              </a:cubicBezTo>
              <a:cubicBezTo>
                <a:pt x="925081" y="-19473"/>
                <a:pt x="748479" y="1380"/>
                <a:pt x="1181100" y="23011"/>
              </a:cubicBezTo>
              <a:lnTo>
                <a:pt x="1276350" y="42061"/>
              </a:lnTo>
              <a:cubicBezTo>
                <a:pt x="1292225" y="45236"/>
                <a:pt x="1307786" y="51586"/>
                <a:pt x="1323975" y="51586"/>
              </a:cubicBezTo>
              <a:lnTo>
                <a:pt x="1447800" y="51586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1752600</xdr:colOff>
      <xdr:row>2</xdr:row>
      <xdr:rowOff>110339</xdr:rowOff>
    </xdr:from>
    <xdr:to>
      <xdr:col>2</xdr:col>
      <xdr:colOff>561975</xdr:colOff>
      <xdr:row>4</xdr:row>
      <xdr:rowOff>186848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xmlns="" id="{FC0A78FC-3220-4F97-ADDE-23D2ADD2D8AC}"/>
            </a:ext>
          </a:extLst>
        </xdr:cNvPr>
        <xdr:cNvSpPr/>
      </xdr:nvSpPr>
      <xdr:spPr>
        <a:xfrm>
          <a:off x="1752600" y="491339"/>
          <a:ext cx="1447800" cy="457509"/>
        </a:xfrm>
        <a:custGeom>
          <a:avLst/>
          <a:gdLst>
            <a:gd name="connsiteX0" fmla="*/ 0 w 1447800"/>
            <a:gd name="connsiteY0" fmla="*/ 451636 h 457509"/>
            <a:gd name="connsiteX1" fmla="*/ 228600 w 1447800"/>
            <a:gd name="connsiteY1" fmla="*/ 432586 h 457509"/>
            <a:gd name="connsiteX2" fmla="*/ 238125 w 1447800"/>
            <a:gd name="connsiteY2" fmla="*/ 270661 h 457509"/>
            <a:gd name="connsiteX3" fmla="*/ 257175 w 1447800"/>
            <a:gd name="connsiteY3" fmla="*/ 223036 h 457509"/>
            <a:gd name="connsiteX4" fmla="*/ 266700 w 1447800"/>
            <a:gd name="connsiteY4" fmla="*/ 194461 h 457509"/>
            <a:gd name="connsiteX5" fmla="*/ 295275 w 1447800"/>
            <a:gd name="connsiteY5" fmla="*/ 99211 h 457509"/>
            <a:gd name="connsiteX6" fmla="*/ 314325 w 1447800"/>
            <a:gd name="connsiteY6" fmla="*/ 61111 h 457509"/>
            <a:gd name="connsiteX7" fmla="*/ 352425 w 1447800"/>
            <a:gd name="connsiteY7" fmla="*/ 42061 h 457509"/>
            <a:gd name="connsiteX8" fmla="*/ 647700 w 1447800"/>
            <a:gd name="connsiteY8" fmla="*/ 32536 h 457509"/>
            <a:gd name="connsiteX9" fmla="*/ 1181100 w 1447800"/>
            <a:gd name="connsiteY9" fmla="*/ 23011 h 457509"/>
            <a:gd name="connsiteX10" fmla="*/ 1276350 w 1447800"/>
            <a:gd name="connsiteY10" fmla="*/ 42061 h 457509"/>
            <a:gd name="connsiteX11" fmla="*/ 1323975 w 1447800"/>
            <a:gd name="connsiteY11" fmla="*/ 51586 h 457509"/>
            <a:gd name="connsiteX12" fmla="*/ 1447800 w 1447800"/>
            <a:gd name="connsiteY12" fmla="*/ 51586 h 457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447800" h="457509">
              <a:moveTo>
                <a:pt x="0" y="451636"/>
              </a:moveTo>
              <a:cubicBezTo>
                <a:pt x="76200" y="445286"/>
                <a:pt x="167722" y="478853"/>
                <a:pt x="228600" y="432586"/>
              </a:cubicBezTo>
              <a:cubicBezTo>
                <a:pt x="271647" y="399870"/>
                <a:pt x="230820" y="324234"/>
                <a:pt x="238125" y="270661"/>
              </a:cubicBezTo>
              <a:cubicBezTo>
                <a:pt x="240435" y="253720"/>
                <a:pt x="251172" y="239045"/>
                <a:pt x="257175" y="223036"/>
              </a:cubicBezTo>
              <a:cubicBezTo>
                <a:pt x="260700" y="213635"/>
                <a:pt x="263942" y="204115"/>
                <a:pt x="266700" y="194461"/>
              </a:cubicBezTo>
              <a:cubicBezTo>
                <a:pt x="275815" y="162558"/>
                <a:pt x="280185" y="129392"/>
                <a:pt x="295275" y="99211"/>
              </a:cubicBezTo>
              <a:cubicBezTo>
                <a:pt x="301625" y="86511"/>
                <a:pt x="304285" y="71151"/>
                <a:pt x="314325" y="61111"/>
              </a:cubicBezTo>
              <a:cubicBezTo>
                <a:pt x="324365" y="51071"/>
                <a:pt x="338278" y="43274"/>
                <a:pt x="352425" y="42061"/>
              </a:cubicBezTo>
              <a:cubicBezTo>
                <a:pt x="450541" y="33651"/>
                <a:pt x="549275" y="35711"/>
                <a:pt x="647700" y="32536"/>
              </a:cubicBezTo>
              <a:cubicBezTo>
                <a:pt x="925081" y="-19473"/>
                <a:pt x="748479" y="1380"/>
                <a:pt x="1181100" y="23011"/>
              </a:cubicBezTo>
              <a:lnTo>
                <a:pt x="1276350" y="42061"/>
              </a:lnTo>
              <a:cubicBezTo>
                <a:pt x="1292225" y="45236"/>
                <a:pt x="1307786" y="51586"/>
                <a:pt x="1323975" y="51586"/>
              </a:cubicBezTo>
              <a:lnTo>
                <a:pt x="1447800" y="51586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1685925</xdr:colOff>
      <xdr:row>5</xdr:row>
      <xdr:rowOff>91289</xdr:rowOff>
    </xdr:from>
    <xdr:to>
      <xdr:col>2</xdr:col>
      <xdr:colOff>495300</xdr:colOff>
      <xdr:row>7</xdr:row>
      <xdr:rowOff>167798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xmlns="" id="{A9AA2092-5307-4C08-9EBA-FFD7E548DDA7}"/>
            </a:ext>
          </a:extLst>
        </xdr:cNvPr>
        <xdr:cNvSpPr/>
      </xdr:nvSpPr>
      <xdr:spPr>
        <a:xfrm>
          <a:off x="1685925" y="1043789"/>
          <a:ext cx="1447800" cy="457509"/>
        </a:xfrm>
        <a:custGeom>
          <a:avLst/>
          <a:gdLst>
            <a:gd name="connsiteX0" fmla="*/ 0 w 1447800"/>
            <a:gd name="connsiteY0" fmla="*/ 451636 h 457509"/>
            <a:gd name="connsiteX1" fmla="*/ 228600 w 1447800"/>
            <a:gd name="connsiteY1" fmla="*/ 432586 h 457509"/>
            <a:gd name="connsiteX2" fmla="*/ 238125 w 1447800"/>
            <a:gd name="connsiteY2" fmla="*/ 270661 h 457509"/>
            <a:gd name="connsiteX3" fmla="*/ 257175 w 1447800"/>
            <a:gd name="connsiteY3" fmla="*/ 223036 h 457509"/>
            <a:gd name="connsiteX4" fmla="*/ 266700 w 1447800"/>
            <a:gd name="connsiteY4" fmla="*/ 194461 h 457509"/>
            <a:gd name="connsiteX5" fmla="*/ 295275 w 1447800"/>
            <a:gd name="connsiteY5" fmla="*/ 99211 h 457509"/>
            <a:gd name="connsiteX6" fmla="*/ 314325 w 1447800"/>
            <a:gd name="connsiteY6" fmla="*/ 61111 h 457509"/>
            <a:gd name="connsiteX7" fmla="*/ 352425 w 1447800"/>
            <a:gd name="connsiteY7" fmla="*/ 42061 h 457509"/>
            <a:gd name="connsiteX8" fmla="*/ 647700 w 1447800"/>
            <a:gd name="connsiteY8" fmla="*/ 32536 h 457509"/>
            <a:gd name="connsiteX9" fmla="*/ 1181100 w 1447800"/>
            <a:gd name="connsiteY9" fmla="*/ 23011 h 457509"/>
            <a:gd name="connsiteX10" fmla="*/ 1276350 w 1447800"/>
            <a:gd name="connsiteY10" fmla="*/ 42061 h 457509"/>
            <a:gd name="connsiteX11" fmla="*/ 1323975 w 1447800"/>
            <a:gd name="connsiteY11" fmla="*/ 51586 h 457509"/>
            <a:gd name="connsiteX12" fmla="*/ 1447800 w 1447800"/>
            <a:gd name="connsiteY12" fmla="*/ 51586 h 457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447800" h="457509">
              <a:moveTo>
                <a:pt x="0" y="451636"/>
              </a:moveTo>
              <a:cubicBezTo>
                <a:pt x="76200" y="445286"/>
                <a:pt x="167722" y="478853"/>
                <a:pt x="228600" y="432586"/>
              </a:cubicBezTo>
              <a:cubicBezTo>
                <a:pt x="271647" y="399870"/>
                <a:pt x="230820" y="324234"/>
                <a:pt x="238125" y="270661"/>
              </a:cubicBezTo>
              <a:cubicBezTo>
                <a:pt x="240435" y="253720"/>
                <a:pt x="251172" y="239045"/>
                <a:pt x="257175" y="223036"/>
              </a:cubicBezTo>
              <a:cubicBezTo>
                <a:pt x="260700" y="213635"/>
                <a:pt x="263942" y="204115"/>
                <a:pt x="266700" y="194461"/>
              </a:cubicBezTo>
              <a:cubicBezTo>
                <a:pt x="275815" y="162558"/>
                <a:pt x="280185" y="129392"/>
                <a:pt x="295275" y="99211"/>
              </a:cubicBezTo>
              <a:cubicBezTo>
                <a:pt x="301625" y="86511"/>
                <a:pt x="304285" y="71151"/>
                <a:pt x="314325" y="61111"/>
              </a:cubicBezTo>
              <a:cubicBezTo>
                <a:pt x="324365" y="51071"/>
                <a:pt x="338278" y="43274"/>
                <a:pt x="352425" y="42061"/>
              </a:cubicBezTo>
              <a:cubicBezTo>
                <a:pt x="450541" y="33651"/>
                <a:pt x="549275" y="35711"/>
                <a:pt x="647700" y="32536"/>
              </a:cubicBezTo>
              <a:cubicBezTo>
                <a:pt x="925081" y="-19473"/>
                <a:pt x="748479" y="1380"/>
                <a:pt x="1181100" y="23011"/>
              </a:cubicBezTo>
              <a:lnTo>
                <a:pt x="1276350" y="42061"/>
              </a:lnTo>
              <a:cubicBezTo>
                <a:pt x="1292225" y="45236"/>
                <a:pt x="1307786" y="51586"/>
                <a:pt x="1323975" y="51586"/>
              </a:cubicBezTo>
              <a:lnTo>
                <a:pt x="1447800" y="51586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1724025</xdr:colOff>
      <xdr:row>8</xdr:row>
      <xdr:rowOff>91289</xdr:rowOff>
    </xdr:from>
    <xdr:to>
      <xdr:col>2</xdr:col>
      <xdr:colOff>533400</xdr:colOff>
      <xdr:row>10</xdr:row>
      <xdr:rowOff>167798</xdr:rowOff>
    </xdr:to>
    <xdr:sp macro="" textlink="">
      <xdr:nvSpPr>
        <xdr:cNvPr id="5" name="Freeform: Shape 4">
          <a:extLst>
            <a:ext uri="{FF2B5EF4-FFF2-40B4-BE49-F238E27FC236}">
              <a16:creationId xmlns:a16="http://schemas.microsoft.com/office/drawing/2014/main" xmlns="" id="{47F3C0C5-C9AD-4AEA-A75B-40F53EC05052}"/>
            </a:ext>
          </a:extLst>
        </xdr:cNvPr>
        <xdr:cNvSpPr/>
      </xdr:nvSpPr>
      <xdr:spPr>
        <a:xfrm>
          <a:off x="1724025" y="1615289"/>
          <a:ext cx="1447800" cy="457509"/>
        </a:xfrm>
        <a:custGeom>
          <a:avLst/>
          <a:gdLst>
            <a:gd name="connsiteX0" fmla="*/ 0 w 1447800"/>
            <a:gd name="connsiteY0" fmla="*/ 451636 h 457509"/>
            <a:gd name="connsiteX1" fmla="*/ 228600 w 1447800"/>
            <a:gd name="connsiteY1" fmla="*/ 432586 h 457509"/>
            <a:gd name="connsiteX2" fmla="*/ 238125 w 1447800"/>
            <a:gd name="connsiteY2" fmla="*/ 270661 h 457509"/>
            <a:gd name="connsiteX3" fmla="*/ 257175 w 1447800"/>
            <a:gd name="connsiteY3" fmla="*/ 223036 h 457509"/>
            <a:gd name="connsiteX4" fmla="*/ 266700 w 1447800"/>
            <a:gd name="connsiteY4" fmla="*/ 194461 h 457509"/>
            <a:gd name="connsiteX5" fmla="*/ 295275 w 1447800"/>
            <a:gd name="connsiteY5" fmla="*/ 99211 h 457509"/>
            <a:gd name="connsiteX6" fmla="*/ 314325 w 1447800"/>
            <a:gd name="connsiteY6" fmla="*/ 61111 h 457509"/>
            <a:gd name="connsiteX7" fmla="*/ 352425 w 1447800"/>
            <a:gd name="connsiteY7" fmla="*/ 42061 h 457509"/>
            <a:gd name="connsiteX8" fmla="*/ 647700 w 1447800"/>
            <a:gd name="connsiteY8" fmla="*/ 32536 h 457509"/>
            <a:gd name="connsiteX9" fmla="*/ 1181100 w 1447800"/>
            <a:gd name="connsiteY9" fmla="*/ 23011 h 457509"/>
            <a:gd name="connsiteX10" fmla="*/ 1276350 w 1447800"/>
            <a:gd name="connsiteY10" fmla="*/ 42061 h 457509"/>
            <a:gd name="connsiteX11" fmla="*/ 1323975 w 1447800"/>
            <a:gd name="connsiteY11" fmla="*/ 51586 h 457509"/>
            <a:gd name="connsiteX12" fmla="*/ 1447800 w 1447800"/>
            <a:gd name="connsiteY12" fmla="*/ 51586 h 457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447800" h="457509">
              <a:moveTo>
                <a:pt x="0" y="451636"/>
              </a:moveTo>
              <a:cubicBezTo>
                <a:pt x="76200" y="445286"/>
                <a:pt x="167722" y="478853"/>
                <a:pt x="228600" y="432586"/>
              </a:cubicBezTo>
              <a:cubicBezTo>
                <a:pt x="271647" y="399870"/>
                <a:pt x="230820" y="324234"/>
                <a:pt x="238125" y="270661"/>
              </a:cubicBezTo>
              <a:cubicBezTo>
                <a:pt x="240435" y="253720"/>
                <a:pt x="251172" y="239045"/>
                <a:pt x="257175" y="223036"/>
              </a:cubicBezTo>
              <a:cubicBezTo>
                <a:pt x="260700" y="213635"/>
                <a:pt x="263942" y="204115"/>
                <a:pt x="266700" y="194461"/>
              </a:cubicBezTo>
              <a:cubicBezTo>
                <a:pt x="275815" y="162558"/>
                <a:pt x="280185" y="129392"/>
                <a:pt x="295275" y="99211"/>
              </a:cubicBezTo>
              <a:cubicBezTo>
                <a:pt x="301625" y="86511"/>
                <a:pt x="304285" y="71151"/>
                <a:pt x="314325" y="61111"/>
              </a:cubicBezTo>
              <a:cubicBezTo>
                <a:pt x="324365" y="51071"/>
                <a:pt x="338278" y="43274"/>
                <a:pt x="352425" y="42061"/>
              </a:cubicBezTo>
              <a:cubicBezTo>
                <a:pt x="450541" y="33651"/>
                <a:pt x="549275" y="35711"/>
                <a:pt x="647700" y="32536"/>
              </a:cubicBezTo>
              <a:cubicBezTo>
                <a:pt x="925081" y="-19473"/>
                <a:pt x="748479" y="1380"/>
                <a:pt x="1181100" y="23011"/>
              </a:cubicBezTo>
              <a:lnTo>
                <a:pt x="1276350" y="42061"/>
              </a:lnTo>
              <a:cubicBezTo>
                <a:pt x="1292225" y="45236"/>
                <a:pt x="1307786" y="51586"/>
                <a:pt x="1323975" y="51586"/>
              </a:cubicBezTo>
              <a:lnTo>
                <a:pt x="1447800" y="51586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1857375</xdr:colOff>
      <xdr:row>11</xdr:row>
      <xdr:rowOff>72239</xdr:rowOff>
    </xdr:from>
    <xdr:to>
      <xdr:col>3</xdr:col>
      <xdr:colOff>57150</xdr:colOff>
      <xdr:row>13</xdr:row>
      <xdr:rowOff>148748</xdr:rowOff>
    </xdr:to>
    <xdr:sp macro="" textlink="">
      <xdr:nvSpPr>
        <xdr:cNvPr id="6" name="Freeform: Shape 5">
          <a:extLst>
            <a:ext uri="{FF2B5EF4-FFF2-40B4-BE49-F238E27FC236}">
              <a16:creationId xmlns:a16="http://schemas.microsoft.com/office/drawing/2014/main" xmlns="" id="{FD06F986-D784-4D1B-BC2C-8ADE4DFAC8A3}"/>
            </a:ext>
          </a:extLst>
        </xdr:cNvPr>
        <xdr:cNvSpPr/>
      </xdr:nvSpPr>
      <xdr:spPr>
        <a:xfrm>
          <a:off x="1857375" y="2167739"/>
          <a:ext cx="1790700" cy="457509"/>
        </a:xfrm>
        <a:custGeom>
          <a:avLst/>
          <a:gdLst>
            <a:gd name="connsiteX0" fmla="*/ 0 w 1447800"/>
            <a:gd name="connsiteY0" fmla="*/ 451636 h 457509"/>
            <a:gd name="connsiteX1" fmla="*/ 228600 w 1447800"/>
            <a:gd name="connsiteY1" fmla="*/ 432586 h 457509"/>
            <a:gd name="connsiteX2" fmla="*/ 238125 w 1447800"/>
            <a:gd name="connsiteY2" fmla="*/ 270661 h 457509"/>
            <a:gd name="connsiteX3" fmla="*/ 257175 w 1447800"/>
            <a:gd name="connsiteY3" fmla="*/ 223036 h 457509"/>
            <a:gd name="connsiteX4" fmla="*/ 266700 w 1447800"/>
            <a:gd name="connsiteY4" fmla="*/ 194461 h 457509"/>
            <a:gd name="connsiteX5" fmla="*/ 295275 w 1447800"/>
            <a:gd name="connsiteY5" fmla="*/ 99211 h 457509"/>
            <a:gd name="connsiteX6" fmla="*/ 314325 w 1447800"/>
            <a:gd name="connsiteY6" fmla="*/ 61111 h 457509"/>
            <a:gd name="connsiteX7" fmla="*/ 352425 w 1447800"/>
            <a:gd name="connsiteY7" fmla="*/ 42061 h 457509"/>
            <a:gd name="connsiteX8" fmla="*/ 647700 w 1447800"/>
            <a:gd name="connsiteY8" fmla="*/ 32536 h 457509"/>
            <a:gd name="connsiteX9" fmla="*/ 1181100 w 1447800"/>
            <a:gd name="connsiteY9" fmla="*/ 23011 h 457509"/>
            <a:gd name="connsiteX10" fmla="*/ 1276350 w 1447800"/>
            <a:gd name="connsiteY10" fmla="*/ 42061 h 457509"/>
            <a:gd name="connsiteX11" fmla="*/ 1323975 w 1447800"/>
            <a:gd name="connsiteY11" fmla="*/ 51586 h 457509"/>
            <a:gd name="connsiteX12" fmla="*/ 1447800 w 1447800"/>
            <a:gd name="connsiteY12" fmla="*/ 51586 h 457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1447800" h="457509">
              <a:moveTo>
                <a:pt x="0" y="451636"/>
              </a:moveTo>
              <a:cubicBezTo>
                <a:pt x="76200" y="445286"/>
                <a:pt x="167722" y="478853"/>
                <a:pt x="228600" y="432586"/>
              </a:cubicBezTo>
              <a:cubicBezTo>
                <a:pt x="271647" y="399870"/>
                <a:pt x="230820" y="324234"/>
                <a:pt x="238125" y="270661"/>
              </a:cubicBezTo>
              <a:cubicBezTo>
                <a:pt x="240435" y="253720"/>
                <a:pt x="251172" y="239045"/>
                <a:pt x="257175" y="223036"/>
              </a:cubicBezTo>
              <a:cubicBezTo>
                <a:pt x="260700" y="213635"/>
                <a:pt x="263942" y="204115"/>
                <a:pt x="266700" y="194461"/>
              </a:cubicBezTo>
              <a:cubicBezTo>
                <a:pt x="275815" y="162558"/>
                <a:pt x="280185" y="129392"/>
                <a:pt x="295275" y="99211"/>
              </a:cubicBezTo>
              <a:cubicBezTo>
                <a:pt x="301625" y="86511"/>
                <a:pt x="304285" y="71151"/>
                <a:pt x="314325" y="61111"/>
              </a:cubicBezTo>
              <a:cubicBezTo>
                <a:pt x="324365" y="51071"/>
                <a:pt x="338278" y="43274"/>
                <a:pt x="352425" y="42061"/>
              </a:cubicBezTo>
              <a:cubicBezTo>
                <a:pt x="450541" y="33651"/>
                <a:pt x="549275" y="35711"/>
                <a:pt x="647700" y="32536"/>
              </a:cubicBezTo>
              <a:cubicBezTo>
                <a:pt x="925081" y="-19473"/>
                <a:pt x="748479" y="1380"/>
                <a:pt x="1181100" y="23011"/>
              </a:cubicBezTo>
              <a:lnTo>
                <a:pt x="1276350" y="42061"/>
              </a:lnTo>
              <a:cubicBezTo>
                <a:pt x="1292225" y="45236"/>
                <a:pt x="1307786" y="51586"/>
                <a:pt x="1323975" y="51586"/>
              </a:cubicBezTo>
              <a:lnTo>
                <a:pt x="1447800" y="51586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609599</xdr:colOff>
      <xdr:row>19</xdr:row>
      <xdr:rowOff>95250</xdr:rowOff>
    </xdr:to>
    <xdr:sp macro="" textlink="">
      <xdr:nvSpPr>
        <xdr:cNvPr id="7" name="Rectangle 6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180974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3</xdr:row>
      <xdr:rowOff>116098</xdr:rowOff>
    </xdr:from>
    <xdr:to>
      <xdr:col>2</xdr:col>
      <xdr:colOff>314325</xdr:colOff>
      <xdr:row>6</xdr:row>
      <xdr:rowOff>77427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xmlns="" id="{55F55B07-1A96-4153-B998-20EA1D34988A}"/>
            </a:ext>
          </a:extLst>
        </xdr:cNvPr>
        <xdr:cNvSpPr/>
      </xdr:nvSpPr>
      <xdr:spPr>
        <a:xfrm>
          <a:off x="1381125" y="687598"/>
          <a:ext cx="1952625" cy="532829"/>
        </a:xfrm>
        <a:custGeom>
          <a:avLst/>
          <a:gdLst>
            <a:gd name="connsiteX0" fmla="*/ 0 w 1352550"/>
            <a:gd name="connsiteY0" fmla="*/ 331577 h 532829"/>
            <a:gd name="connsiteX1" fmla="*/ 161925 w 1352550"/>
            <a:gd name="connsiteY1" fmla="*/ 522077 h 532829"/>
            <a:gd name="connsiteX2" fmla="*/ 276225 w 1352550"/>
            <a:gd name="connsiteY2" fmla="*/ 45827 h 532829"/>
            <a:gd name="connsiteX3" fmla="*/ 1352550 w 1352550"/>
            <a:gd name="connsiteY3" fmla="*/ 45827 h 532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2550" h="532829">
              <a:moveTo>
                <a:pt x="0" y="331577"/>
              </a:moveTo>
              <a:cubicBezTo>
                <a:pt x="57944" y="450639"/>
                <a:pt x="115888" y="569702"/>
                <a:pt x="161925" y="522077"/>
              </a:cubicBezTo>
              <a:cubicBezTo>
                <a:pt x="207963" y="474452"/>
                <a:pt x="77788" y="125202"/>
                <a:pt x="276225" y="45827"/>
              </a:cubicBezTo>
              <a:cubicBezTo>
                <a:pt x="474662" y="-33548"/>
                <a:pt x="913606" y="6139"/>
                <a:pt x="1352550" y="4582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1371600</xdr:colOff>
      <xdr:row>6</xdr:row>
      <xdr:rowOff>58948</xdr:rowOff>
    </xdr:from>
    <xdr:to>
      <xdr:col>2</xdr:col>
      <xdr:colOff>304800</xdr:colOff>
      <xdr:row>9</xdr:row>
      <xdr:rowOff>20277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xmlns="" id="{A08C2876-8D90-4146-93AE-146A7A1BC628}"/>
            </a:ext>
          </a:extLst>
        </xdr:cNvPr>
        <xdr:cNvSpPr/>
      </xdr:nvSpPr>
      <xdr:spPr>
        <a:xfrm>
          <a:off x="1371600" y="1201948"/>
          <a:ext cx="1952625" cy="532829"/>
        </a:xfrm>
        <a:custGeom>
          <a:avLst/>
          <a:gdLst>
            <a:gd name="connsiteX0" fmla="*/ 0 w 1352550"/>
            <a:gd name="connsiteY0" fmla="*/ 331577 h 532829"/>
            <a:gd name="connsiteX1" fmla="*/ 161925 w 1352550"/>
            <a:gd name="connsiteY1" fmla="*/ 522077 h 532829"/>
            <a:gd name="connsiteX2" fmla="*/ 276225 w 1352550"/>
            <a:gd name="connsiteY2" fmla="*/ 45827 h 532829"/>
            <a:gd name="connsiteX3" fmla="*/ 1352550 w 1352550"/>
            <a:gd name="connsiteY3" fmla="*/ 45827 h 532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2550" h="532829">
              <a:moveTo>
                <a:pt x="0" y="331577"/>
              </a:moveTo>
              <a:cubicBezTo>
                <a:pt x="57944" y="450639"/>
                <a:pt x="115888" y="569702"/>
                <a:pt x="161925" y="522077"/>
              </a:cubicBezTo>
              <a:cubicBezTo>
                <a:pt x="207963" y="474452"/>
                <a:pt x="77788" y="125202"/>
                <a:pt x="276225" y="45827"/>
              </a:cubicBezTo>
              <a:cubicBezTo>
                <a:pt x="474662" y="-33548"/>
                <a:pt x="913606" y="6139"/>
                <a:pt x="1352550" y="4582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1419225</xdr:colOff>
      <xdr:row>9</xdr:row>
      <xdr:rowOff>68473</xdr:rowOff>
    </xdr:from>
    <xdr:to>
      <xdr:col>2</xdr:col>
      <xdr:colOff>352425</xdr:colOff>
      <xdr:row>12</xdr:row>
      <xdr:rowOff>29802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xmlns="" id="{76120329-76F3-4DE8-BB51-B799EB4B7EC0}"/>
            </a:ext>
          </a:extLst>
        </xdr:cNvPr>
        <xdr:cNvSpPr/>
      </xdr:nvSpPr>
      <xdr:spPr>
        <a:xfrm>
          <a:off x="1419225" y="1782973"/>
          <a:ext cx="1952625" cy="532829"/>
        </a:xfrm>
        <a:custGeom>
          <a:avLst/>
          <a:gdLst>
            <a:gd name="connsiteX0" fmla="*/ 0 w 1352550"/>
            <a:gd name="connsiteY0" fmla="*/ 331577 h 532829"/>
            <a:gd name="connsiteX1" fmla="*/ 161925 w 1352550"/>
            <a:gd name="connsiteY1" fmla="*/ 522077 h 532829"/>
            <a:gd name="connsiteX2" fmla="*/ 276225 w 1352550"/>
            <a:gd name="connsiteY2" fmla="*/ 45827 h 532829"/>
            <a:gd name="connsiteX3" fmla="*/ 1352550 w 1352550"/>
            <a:gd name="connsiteY3" fmla="*/ 45827 h 532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2550" h="532829">
              <a:moveTo>
                <a:pt x="0" y="331577"/>
              </a:moveTo>
              <a:cubicBezTo>
                <a:pt x="57944" y="450639"/>
                <a:pt x="115888" y="569702"/>
                <a:pt x="161925" y="522077"/>
              </a:cubicBezTo>
              <a:cubicBezTo>
                <a:pt x="207963" y="474452"/>
                <a:pt x="77788" y="125202"/>
                <a:pt x="276225" y="45827"/>
              </a:cubicBezTo>
              <a:cubicBezTo>
                <a:pt x="474662" y="-33548"/>
                <a:pt x="913606" y="6139"/>
                <a:pt x="1352550" y="4582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1514475</xdr:colOff>
      <xdr:row>12</xdr:row>
      <xdr:rowOff>97048</xdr:rowOff>
    </xdr:from>
    <xdr:to>
      <xdr:col>2</xdr:col>
      <xdr:colOff>447675</xdr:colOff>
      <xdr:row>15</xdr:row>
      <xdr:rowOff>58377</xdr:rowOff>
    </xdr:to>
    <xdr:sp macro="" textlink="">
      <xdr:nvSpPr>
        <xdr:cNvPr id="5" name="Freeform: Shape 4">
          <a:extLst>
            <a:ext uri="{FF2B5EF4-FFF2-40B4-BE49-F238E27FC236}">
              <a16:creationId xmlns:a16="http://schemas.microsoft.com/office/drawing/2014/main" xmlns="" id="{1EDF4C78-8155-49CF-BC09-BFD474356D5E}"/>
            </a:ext>
          </a:extLst>
        </xdr:cNvPr>
        <xdr:cNvSpPr/>
      </xdr:nvSpPr>
      <xdr:spPr>
        <a:xfrm>
          <a:off x="1514475" y="2383048"/>
          <a:ext cx="1952625" cy="532829"/>
        </a:xfrm>
        <a:custGeom>
          <a:avLst/>
          <a:gdLst>
            <a:gd name="connsiteX0" fmla="*/ 0 w 1352550"/>
            <a:gd name="connsiteY0" fmla="*/ 331577 h 532829"/>
            <a:gd name="connsiteX1" fmla="*/ 161925 w 1352550"/>
            <a:gd name="connsiteY1" fmla="*/ 522077 h 532829"/>
            <a:gd name="connsiteX2" fmla="*/ 276225 w 1352550"/>
            <a:gd name="connsiteY2" fmla="*/ 45827 h 532829"/>
            <a:gd name="connsiteX3" fmla="*/ 1352550 w 1352550"/>
            <a:gd name="connsiteY3" fmla="*/ 45827 h 532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2550" h="532829">
              <a:moveTo>
                <a:pt x="0" y="331577"/>
              </a:moveTo>
              <a:cubicBezTo>
                <a:pt x="57944" y="450639"/>
                <a:pt x="115888" y="569702"/>
                <a:pt x="161925" y="522077"/>
              </a:cubicBezTo>
              <a:cubicBezTo>
                <a:pt x="207963" y="474452"/>
                <a:pt x="77788" y="125202"/>
                <a:pt x="276225" y="45827"/>
              </a:cubicBezTo>
              <a:cubicBezTo>
                <a:pt x="474662" y="-33548"/>
                <a:pt x="913606" y="6139"/>
                <a:pt x="1352550" y="4582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409574</xdr:colOff>
      <xdr:row>19</xdr:row>
      <xdr:rowOff>95250</xdr:rowOff>
    </xdr:to>
    <xdr:sp macro="" textlink="">
      <xdr:nvSpPr>
        <xdr:cNvPr id="6" name="Rectangle 5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400049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85724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19049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209549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113172</xdr:rowOff>
    </xdr:from>
    <xdr:to>
      <xdr:col>3</xdr:col>
      <xdr:colOff>552450</xdr:colOff>
      <xdr:row>5</xdr:row>
      <xdr:rowOff>28575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xmlns="" id="{0D18A074-B46D-D553-F1B0-44C01533490B}"/>
            </a:ext>
          </a:extLst>
        </xdr:cNvPr>
        <xdr:cNvSpPr/>
      </xdr:nvSpPr>
      <xdr:spPr>
        <a:xfrm>
          <a:off x="1171575" y="494172"/>
          <a:ext cx="1209675" cy="486903"/>
        </a:xfrm>
        <a:custGeom>
          <a:avLst/>
          <a:gdLst>
            <a:gd name="connsiteX0" fmla="*/ 0 w 1209675"/>
            <a:gd name="connsiteY0" fmla="*/ 486903 h 486903"/>
            <a:gd name="connsiteX1" fmla="*/ 9525 w 1209675"/>
            <a:gd name="connsiteY1" fmla="*/ 391653 h 486903"/>
            <a:gd name="connsiteX2" fmla="*/ 28575 w 1209675"/>
            <a:gd name="connsiteY2" fmla="*/ 315453 h 486903"/>
            <a:gd name="connsiteX3" fmla="*/ 38100 w 1209675"/>
            <a:gd name="connsiteY3" fmla="*/ 267828 h 486903"/>
            <a:gd name="connsiteX4" fmla="*/ 57150 w 1209675"/>
            <a:gd name="connsiteY4" fmla="*/ 220203 h 486903"/>
            <a:gd name="connsiteX5" fmla="*/ 66675 w 1209675"/>
            <a:gd name="connsiteY5" fmla="*/ 172578 h 486903"/>
            <a:gd name="connsiteX6" fmla="*/ 95250 w 1209675"/>
            <a:gd name="connsiteY6" fmla="*/ 58278 h 486903"/>
            <a:gd name="connsiteX7" fmla="*/ 152400 w 1209675"/>
            <a:gd name="connsiteY7" fmla="*/ 29703 h 486903"/>
            <a:gd name="connsiteX8" fmla="*/ 247650 w 1209675"/>
            <a:gd name="connsiteY8" fmla="*/ 39228 h 486903"/>
            <a:gd name="connsiteX9" fmla="*/ 781050 w 1209675"/>
            <a:gd name="connsiteY9" fmla="*/ 20178 h 486903"/>
            <a:gd name="connsiteX10" fmla="*/ 904875 w 1209675"/>
            <a:gd name="connsiteY10" fmla="*/ 1128 h 486903"/>
            <a:gd name="connsiteX11" fmla="*/ 1209675 w 1209675"/>
            <a:gd name="connsiteY11" fmla="*/ 1128 h 486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209675" h="486903">
              <a:moveTo>
                <a:pt x="0" y="486903"/>
              </a:moveTo>
              <a:cubicBezTo>
                <a:pt x="3175" y="455153"/>
                <a:pt x="5308" y="423281"/>
                <a:pt x="9525" y="391653"/>
              </a:cubicBezTo>
              <a:cubicBezTo>
                <a:pt x="19556" y="316422"/>
                <a:pt x="14838" y="370401"/>
                <a:pt x="28575" y="315453"/>
              </a:cubicBezTo>
              <a:cubicBezTo>
                <a:pt x="32502" y="299747"/>
                <a:pt x="33448" y="283335"/>
                <a:pt x="38100" y="267828"/>
              </a:cubicBezTo>
              <a:cubicBezTo>
                <a:pt x="43013" y="251451"/>
                <a:pt x="52237" y="236580"/>
                <a:pt x="57150" y="220203"/>
              </a:cubicBezTo>
              <a:cubicBezTo>
                <a:pt x="61802" y="204696"/>
                <a:pt x="64385" y="188605"/>
                <a:pt x="66675" y="172578"/>
              </a:cubicBezTo>
              <a:cubicBezTo>
                <a:pt x="73736" y="123153"/>
                <a:pt x="61736" y="91792"/>
                <a:pt x="95250" y="58278"/>
              </a:cubicBezTo>
              <a:cubicBezTo>
                <a:pt x="113714" y="39814"/>
                <a:pt x="129159" y="37450"/>
                <a:pt x="152400" y="29703"/>
              </a:cubicBezTo>
              <a:cubicBezTo>
                <a:pt x="184150" y="32878"/>
                <a:pt x="215742" y="39228"/>
                <a:pt x="247650" y="39228"/>
              </a:cubicBezTo>
              <a:cubicBezTo>
                <a:pt x="365040" y="39228"/>
                <a:pt x="645521" y="26071"/>
                <a:pt x="781050" y="20178"/>
              </a:cubicBezTo>
              <a:cubicBezTo>
                <a:pt x="820431" y="12302"/>
                <a:pt x="865333" y="2117"/>
                <a:pt x="904875" y="1128"/>
              </a:cubicBezTo>
              <a:cubicBezTo>
                <a:pt x="1006443" y="-1411"/>
                <a:pt x="1108075" y="1128"/>
                <a:pt x="1209675" y="112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533400</xdr:colOff>
      <xdr:row>5</xdr:row>
      <xdr:rowOff>94122</xdr:rowOff>
    </xdr:from>
    <xdr:to>
      <xdr:col>3</xdr:col>
      <xdr:colOff>523875</xdr:colOff>
      <xdr:row>8</xdr:row>
      <xdr:rowOff>9525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xmlns="" id="{53B36D58-4361-4850-9FD0-B4339DD90C2B}"/>
            </a:ext>
          </a:extLst>
        </xdr:cNvPr>
        <xdr:cNvSpPr/>
      </xdr:nvSpPr>
      <xdr:spPr>
        <a:xfrm>
          <a:off x="1143000" y="1046622"/>
          <a:ext cx="1209675" cy="486903"/>
        </a:xfrm>
        <a:custGeom>
          <a:avLst/>
          <a:gdLst>
            <a:gd name="connsiteX0" fmla="*/ 0 w 1209675"/>
            <a:gd name="connsiteY0" fmla="*/ 486903 h 486903"/>
            <a:gd name="connsiteX1" fmla="*/ 9525 w 1209675"/>
            <a:gd name="connsiteY1" fmla="*/ 391653 h 486903"/>
            <a:gd name="connsiteX2" fmla="*/ 28575 w 1209675"/>
            <a:gd name="connsiteY2" fmla="*/ 315453 h 486903"/>
            <a:gd name="connsiteX3" fmla="*/ 38100 w 1209675"/>
            <a:gd name="connsiteY3" fmla="*/ 267828 h 486903"/>
            <a:gd name="connsiteX4" fmla="*/ 57150 w 1209675"/>
            <a:gd name="connsiteY4" fmla="*/ 220203 h 486903"/>
            <a:gd name="connsiteX5" fmla="*/ 66675 w 1209675"/>
            <a:gd name="connsiteY5" fmla="*/ 172578 h 486903"/>
            <a:gd name="connsiteX6" fmla="*/ 95250 w 1209675"/>
            <a:gd name="connsiteY6" fmla="*/ 58278 h 486903"/>
            <a:gd name="connsiteX7" fmla="*/ 152400 w 1209675"/>
            <a:gd name="connsiteY7" fmla="*/ 29703 h 486903"/>
            <a:gd name="connsiteX8" fmla="*/ 247650 w 1209675"/>
            <a:gd name="connsiteY8" fmla="*/ 39228 h 486903"/>
            <a:gd name="connsiteX9" fmla="*/ 781050 w 1209675"/>
            <a:gd name="connsiteY9" fmla="*/ 20178 h 486903"/>
            <a:gd name="connsiteX10" fmla="*/ 904875 w 1209675"/>
            <a:gd name="connsiteY10" fmla="*/ 1128 h 486903"/>
            <a:gd name="connsiteX11" fmla="*/ 1209675 w 1209675"/>
            <a:gd name="connsiteY11" fmla="*/ 1128 h 486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209675" h="486903">
              <a:moveTo>
                <a:pt x="0" y="486903"/>
              </a:moveTo>
              <a:cubicBezTo>
                <a:pt x="3175" y="455153"/>
                <a:pt x="5308" y="423281"/>
                <a:pt x="9525" y="391653"/>
              </a:cubicBezTo>
              <a:cubicBezTo>
                <a:pt x="19556" y="316422"/>
                <a:pt x="14838" y="370401"/>
                <a:pt x="28575" y="315453"/>
              </a:cubicBezTo>
              <a:cubicBezTo>
                <a:pt x="32502" y="299747"/>
                <a:pt x="33448" y="283335"/>
                <a:pt x="38100" y="267828"/>
              </a:cubicBezTo>
              <a:cubicBezTo>
                <a:pt x="43013" y="251451"/>
                <a:pt x="52237" y="236580"/>
                <a:pt x="57150" y="220203"/>
              </a:cubicBezTo>
              <a:cubicBezTo>
                <a:pt x="61802" y="204696"/>
                <a:pt x="64385" y="188605"/>
                <a:pt x="66675" y="172578"/>
              </a:cubicBezTo>
              <a:cubicBezTo>
                <a:pt x="73736" y="123153"/>
                <a:pt x="61736" y="91792"/>
                <a:pt x="95250" y="58278"/>
              </a:cubicBezTo>
              <a:cubicBezTo>
                <a:pt x="113714" y="39814"/>
                <a:pt x="129159" y="37450"/>
                <a:pt x="152400" y="29703"/>
              </a:cubicBezTo>
              <a:cubicBezTo>
                <a:pt x="184150" y="32878"/>
                <a:pt x="215742" y="39228"/>
                <a:pt x="247650" y="39228"/>
              </a:cubicBezTo>
              <a:cubicBezTo>
                <a:pt x="365040" y="39228"/>
                <a:pt x="645521" y="26071"/>
                <a:pt x="781050" y="20178"/>
              </a:cubicBezTo>
              <a:cubicBezTo>
                <a:pt x="820431" y="12302"/>
                <a:pt x="865333" y="2117"/>
                <a:pt x="904875" y="1128"/>
              </a:cubicBezTo>
              <a:cubicBezTo>
                <a:pt x="1006443" y="-1411"/>
                <a:pt x="1108075" y="1128"/>
                <a:pt x="1209675" y="112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590550</xdr:colOff>
      <xdr:row>8</xdr:row>
      <xdr:rowOff>151272</xdr:rowOff>
    </xdr:from>
    <xdr:to>
      <xdr:col>3</xdr:col>
      <xdr:colOff>581025</xdr:colOff>
      <xdr:row>11</xdr:row>
      <xdr:rowOff>66675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xmlns="" id="{832339BC-1B1F-41F2-BAFD-FDFF3B84FD09}"/>
            </a:ext>
          </a:extLst>
        </xdr:cNvPr>
        <xdr:cNvSpPr/>
      </xdr:nvSpPr>
      <xdr:spPr>
        <a:xfrm>
          <a:off x="1200150" y="1675272"/>
          <a:ext cx="1209675" cy="486903"/>
        </a:xfrm>
        <a:custGeom>
          <a:avLst/>
          <a:gdLst>
            <a:gd name="connsiteX0" fmla="*/ 0 w 1209675"/>
            <a:gd name="connsiteY0" fmla="*/ 486903 h 486903"/>
            <a:gd name="connsiteX1" fmla="*/ 9525 w 1209675"/>
            <a:gd name="connsiteY1" fmla="*/ 391653 h 486903"/>
            <a:gd name="connsiteX2" fmla="*/ 28575 w 1209675"/>
            <a:gd name="connsiteY2" fmla="*/ 315453 h 486903"/>
            <a:gd name="connsiteX3" fmla="*/ 38100 w 1209675"/>
            <a:gd name="connsiteY3" fmla="*/ 267828 h 486903"/>
            <a:gd name="connsiteX4" fmla="*/ 57150 w 1209675"/>
            <a:gd name="connsiteY4" fmla="*/ 220203 h 486903"/>
            <a:gd name="connsiteX5" fmla="*/ 66675 w 1209675"/>
            <a:gd name="connsiteY5" fmla="*/ 172578 h 486903"/>
            <a:gd name="connsiteX6" fmla="*/ 95250 w 1209675"/>
            <a:gd name="connsiteY6" fmla="*/ 58278 h 486903"/>
            <a:gd name="connsiteX7" fmla="*/ 152400 w 1209675"/>
            <a:gd name="connsiteY7" fmla="*/ 29703 h 486903"/>
            <a:gd name="connsiteX8" fmla="*/ 247650 w 1209675"/>
            <a:gd name="connsiteY8" fmla="*/ 39228 h 486903"/>
            <a:gd name="connsiteX9" fmla="*/ 781050 w 1209675"/>
            <a:gd name="connsiteY9" fmla="*/ 20178 h 486903"/>
            <a:gd name="connsiteX10" fmla="*/ 904875 w 1209675"/>
            <a:gd name="connsiteY10" fmla="*/ 1128 h 486903"/>
            <a:gd name="connsiteX11" fmla="*/ 1209675 w 1209675"/>
            <a:gd name="connsiteY11" fmla="*/ 1128 h 486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209675" h="486903">
              <a:moveTo>
                <a:pt x="0" y="486903"/>
              </a:moveTo>
              <a:cubicBezTo>
                <a:pt x="3175" y="455153"/>
                <a:pt x="5308" y="423281"/>
                <a:pt x="9525" y="391653"/>
              </a:cubicBezTo>
              <a:cubicBezTo>
                <a:pt x="19556" y="316422"/>
                <a:pt x="14838" y="370401"/>
                <a:pt x="28575" y="315453"/>
              </a:cubicBezTo>
              <a:cubicBezTo>
                <a:pt x="32502" y="299747"/>
                <a:pt x="33448" y="283335"/>
                <a:pt x="38100" y="267828"/>
              </a:cubicBezTo>
              <a:cubicBezTo>
                <a:pt x="43013" y="251451"/>
                <a:pt x="52237" y="236580"/>
                <a:pt x="57150" y="220203"/>
              </a:cubicBezTo>
              <a:cubicBezTo>
                <a:pt x="61802" y="204696"/>
                <a:pt x="64385" y="188605"/>
                <a:pt x="66675" y="172578"/>
              </a:cubicBezTo>
              <a:cubicBezTo>
                <a:pt x="73736" y="123153"/>
                <a:pt x="61736" y="91792"/>
                <a:pt x="95250" y="58278"/>
              </a:cubicBezTo>
              <a:cubicBezTo>
                <a:pt x="113714" y="39814"/>
                <a:pt x="129159" y="37450"/>
                <a:pt x="152400" y="29703"/>
              </a:cubicBezTo>
              <a:cubicBezTo>
                <a:pt x="184150" y="32878"/>
                <a:pt x="215742" y="39228"/>
                <a:pt x="247650" y="39228"/>
              </a:cubicBezTo>
              <a:cubicBezTo>
                <a:pt x="365040" y="39228"/>
                <a:pt x="645521" y="26071"/>
                <a:pt x="781050" y="20178"/>
              </a:cubicBezTo>
              <a:cubicBezTo>
                <a:pt x="820431" y="12302"/>
                <a:pt x="865333" y="2117"/>
                <a:pt x="904875" y="1128"/>
              </a:cubicBezTo>
              <a:cubicBezTo>
                <a:pt x="1006443" y="-1411"/>
                <a:pt x="1108075" y="1128"/>
                <a:pt x="1209675" y="112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590550</xdr:colOff>
      <xdr:row>11</xdr:row>
      <xdr:rowOff>103647</xdr:rowOff>
    </xdr:from>
    <xdr:to>
      <xdr:col>3</xdr:col>
      <xdr:colOff>581025</xdr:colOff>
      <xdr:row>14</xdr:row>
      <xdr:rowOff>19050</xdr:rowOff>
    </xdr:to>
    <xdr:sp macro="" textlink="">
      <xdr:nvSpPr>
        <xdr:cNvPr id="5" name="Freeform: Shape 4">
          <a:extLst>
            <a:ext uri="{FF2B5EF4-FFF2-40B4-BE49-F238E27FC236}">
              <a16:creationId xmlns:a16="http://schemas.microsoft.com/office/drawing/2014/main" xmlns="" id="{34597D98-EC00-46B1-ADF1-2D834F157879}"/>
            </a:ext>
          </a:extLst>
        </xdr:cNvPr>
        <xdr:cNvSpPr/>
      </xdr:nvSpPr>
      <xdr:spPr>
        <a:xfrm>
          <a:off x="1200150" y="2199147"/>
          <a:ext cx="1209675" cy="486903"/>
        </a:xfrm>
        <a:custGeom>
          <a:avLst/>
          <a:gdLst>
            <a:gd name="connsiteX0" fmla="*/ 0 w 1209675"/>
            <a:gd name="connsiteY0" fmla="*/ 486903 h 486903"/>
            <a:gd name="connsiteX1" fmla="*/ 9525 w 1209675"/>
            <a:gd name="connsiteY1" fmla="*/ 391653 h 486903"/>
            <a:gd name="connsiteX2" fmla="*/ 28575 w 1209675"/>
            <a:gd name="connsiteY2" fmla="*/ 315453 h 486903"/>
            <a:gd name="connsiteX3" fmla="*/ 38100 w 1209675"/>
            <a:gd name="connsiteY3" fmla="*/ 267828 h 486903"/>
            <a:gd name="connsiteX4" fmla="*/ 57150 w 1209675"/>
            <a:gd name="connsiteY4" fmla="*/ 220203 h 486903"/>
            <a:gd name="connsiteX5" fmla="*/ 66675 w 1209675"/>
            <a:gd name="connsiteY5" fmla="*/ 172578 h 486903"/>
            <a:gd name="connsiteX6" fmla="*/ 95250 w 1209675"/>
            <a:gd name="connsiteY6" fmla="*/ 58278 h 486903"/>
            <a:gd name="connsiteX7" fmla="*/ 152400 w 1209675"/>
            <a:gd name="connsiteY7" fmla="*/ 29703 h 486903"/>
            <a:gd name="connsiteX8" fmla="*/ 247650 w 1209675"/>
            <a:gd name="connsiteY8" fmla="*/ 39228 h 486903"/>
            <a:gd name="connsiteX9" fmla="*/ 781050 w 1209675"/>
            <a:gd name="connsiteY9" fmla="*/ 20178 h 486903"/>
            <a:gd name="connsiteX10" fmla="*/ 904875 w 1209675"/>
            <a:gd name="connsiteY10" fmla="*/ 1128 h 486903"/>
            <a:gd name="connsiteX11" fmla="*/ 1209675 w 1209675"/>
            <a:gd name="connsiteY11" fmla="*/ 1128 h 486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209675" h="486903">
              <a:moveTo>
                <a:pt x="0" y="486903"/>
              </a:moveTo>
              <a:cubicBezTo>
                <a:pt x="3175" y="455153"/>
                <a:pt x="5308" y="423281"/>
                <a:pt x="9525" y="391653"/>
              </a:cubicBezTo>
              <a:cubicBezTo>
                <a:pt x="19556" y="316422"/>
                <a:pt x="14838" y="370401"/>
                <a:pt x="28575" y="315453"/>
              </a:cubicBezTo>
              <a:cubicBezTo>
                <a:pt x="32502" y="299747"/>
                <a:pt x="33448" y="283335"/>
                <a:pt x="38100" y="267828"/>
              </a:cubicBezTo>
              <a:cubicBezTo>
                <a:pt x="43013" y="251451"/>
                <a:pt x="52237" y="236580"/>
                <a:pt x="57150" y="220203"/>
              </a:cubicBezTo>
              <a:cubicBezTo>
                <a:pt x="61802" y="204696"/>
                <a:pt x="64385" y="188605"/>
                <a:pt x="66675" y="172578"/>
              </a:cubicBezTo>
              <a:cubicBezTo>
                <a:pt x="73736" y="123153"/>
                <a:pt x="61736" y="91792"/>
                <a:pt x="95250" y="58278"/>
              </a:cubicBezTo>
              <a:cubicBezTo>
                <a:pt x="113714" y="39814"/>
                <a:pt x="129159" y="37450"/>
                <a:pt x="152400" y="29703"/>
              </a:cubicBezTo>
              <a:cubicBezTo>
                <a:pt x="184150" y="32878"/>
                <a:pt x="215742" y="39228"/>
                <a:pt x="247650" y="39228"/>
              </a:cubicBezTo>
              <a:cubicBezTo>
                <a:pt x="365040" y="39228"/>
                <a:pt x="645521" y="26071"/>
                <a:pt x="781050" y="20178"/>
              </a:cubicBezTo>
              <a:cubicBezTo>
                <a:pt x="820431" y="12302"/>
                <a:pt x="865333" y="2117"/>
                <a:pt x="904875" y="1128"/>
              </a:cubicBezTo>
              <a:cubicBezTo>
                <a:pt x="1006443" y="-1411"/>
                <a:pt x="1108075" y="1128"/>
                <a:pt x="1209675" y="112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276224</xdr:colOff>
      <xdr:row>19</xdr:row>
      <xdr:rowOff>114300</xdr:rowOff>
    </xdr:to>
    <xdr:sp macro="" textlink="">
      <xdr:nvSpPr>
        <xdr:cNvPr id="6" name="Rectangle 5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571499</xdr:colOff>
      <xdr:row>19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276224</xdr:colOff>
      <xdr:row>19</xdr:row>
      <xdr:rowOff>85725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581024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12</xdr:row>
      <xdr:rowOff>180975</xdr:rowOff>
    </xdr:from>
    <xdr:to>
      <xdr:col>2</xdr:col>
      <xdr:colOff>0</xdr:colOff>
      <xdr:row>15</xdr:row>
      <xdr:rowOff>47625</xdr:rowOff>
    </xdr:to>
    <xdr:sp macro="" textlink="">
      <xdr:nvSpPr>
        <xdr:cNvPr id="2" name="Left Bracket 1">
          <a:extLst>
            <a:ext uri="{FF2B5EF4-FFF2-40B4-BE49-F238E27FC236}">
              <a16:creationId xmlns:a16="http://schemas.microsoft.com/office/drawing/2014/main" xmlns="" id="{DD55F0A8-7A08-4F35-B789-3F7BCA06F1A3}"/>
            </a:ext>
          </a:extLst>
        </xdr:cNvPr>
        <xdr:cNvSpPr/>
      </xdr:nvSpPr>
      <xdr:spPr>
        <a:xfrm>
          <a:off x="1533525" y="5514975"/>
          <a:ext cx="257175" cy="4381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123825</xdr:colOff>
      <xdr:row>12</xdr:row>
      <xdr:rowOff>180975</xdr:rowOff>
    </xdr:from>
    <xdr:to>
      <xdr:col>6</xdr:col>
      <xdr:colOff>247650</xdr:colOff>
      <xdr:row>15</xdr:row>
      <xdr:rowOff>47625</xdr:rowOff>
    </xdr:to>
    <xdr:sp macro="" textlink="">
      <xdr:nvSpPr>
        <xdr:cNvPr id="3" name="Left Bracket 2">
          <a:extLst>
            <a:ext uri="{FF2B5EF4-FFF2-40B4-BE49-F238E27FC236}">
              <a16:creationId xmlns:a16="http://schemas.microsoft.com/office/drawing/2014/main" xmlns="" id="{2550ED87-603F-45B8-BDA8-09DD8617C5BD}"/>
            </a:ext>
          </a:extLst>
        </xdr:cNvPr>
        <xdr:cNvSpPr/>
      </xdr:nvSpPr>
      <xdr:spPr>
        <a:xfrm flipH="1">
          <a:off x="5010150" y="5514975"/>
          <a:ext cx="123825" cy="4381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542924</xdr:colOff>
      <xdr:row>19</xdr:row>
      <xdr:rowOff>114300</xdr:rowOff>
    </xdr:to>
    <xdr:sp macro="" textlink="">
      <xdr:nvSpPr>
        <xdr:cNvPr id="4" name="Rectangle 3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104774</xdr:colOff>
      <xdr:row>19</xdr:row>
      <xdr:rowOff>104775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abSelected="1" workbookViewId="0">
      <selection activeCell="D22" sqref="D22"/>
    </sheetView>
  </sheetViews>
  <sheetFormatPr defaultRowHeight="15" x14ac:dyDescent="0.25"/>
  <cols>
    <col min="2" max="2" width="14" bestFit="1" customWidth="1"/>
    <col min="3" max="3" width="11.42578125" bestFit="1" customWidth="1"/>
    <col min="4" max="4" width="11.42578125" customWidth="1"/>
    <col min="5" max="5" width="13.85546875" customWidth="1"/>
    <col min="8" max="8" width="16.85546875" bestFit="1" customWidth="1"/>
    <col min="10" max="10" width="27.7109375" customWidth="1"/>
    <col min="11" max="11" width="31.5703125" customWidth="1"/>
  </cols>
  <sheetData>
    <row r="1" spans="2:16" x14ac:dyDescent="0.25">
      <c r="L1" t="s">
        <v>13</v>
      </c>
    </row>
    <row r="2" spans="2:16" x14ac:dyDescent="0.25">
      <c r="B2" t="s">
        <v>2</v>
      </c>
      <c r="C2" t="s">
        <v>5</v>
      </c>
      <c r="H2" t="s">
        <v>6</v>
      </c>
    </row>
    <row r="3" spans="2:16" x14ac:dyDescent="0.25">
      <c r="B3" t="s">
        <v>3</v>
      </c>
      <c r="H3" t="s">
        <v>7</v>
      </c>
    </row>
    <row r="4" spans="2:16" x14ac:dyDescent="0.25">
      <c r="B4" t="s">
        <v>4</v>
      </c>
      <c r="H4" t="s">
        <v>8</v>
      </c>
    </row>
    <row r="7" spans="2:16" x14ac:dyDescent="0.25">
      <c r="B7" t="s">
        <v>0</v>
      </c>
      <c r="D7" s="54" t="s">
        <v>12</v>
      </c>
      <c r="E7" s="54"/>
      <c r="F7" s="54"/>
      <c r="H7" t="s">
        <v>1</v>
      </c>
    </row>
    <row r="9" spans="2:16" x14ac:dyDescent="0.25">
      <c r="B9" t="s">
        <v>10</v>
      </c>
      <c r="H9" t="s">
        <v>9</v>
      </c>
      <c r="J9" s="2"/>
    </row>
    <row r="10" spans="2:16" x14ac:dyDescent="0.25">
      <c r="B10" t="s">
        <v>11</v>
      </c>
    </row>
    <row r="14" spans="2:16" x14ac:dyDescent="0.25">
      <c r="B14" t="s">
        <v>55</v>
      </c>
      <c r="L14" t="s">
        <v>14</v>
      </c>
      <c r="N14" t="s">
        <v>15</v>
      </c>
      <c r="P14" t="s">
        <v>20</v>
      </c>
    </row>
    <row r="15" spans="2:16" x14ac:dyDescent="0.25">
      <c r="B15" s="3" t="s">
        <v>22</v>
      </c>
      <c r="E15" s="4" t="s">
        <v>23</v>
      </c>
      <c r="L15" t="s">
        <v>16</v>
      </c>
      <c r="N15" t="s">
        <v>17</v>
      </c>
      <c r="P15" t="s">
        <v>21</v>
      </c>
    </row>
    <row r="16" spans="2:16" x14ac:dyDescent="0.25">
      <c r="B16" t="s">
        <v>24</v>
      </c>
      <c r="E16" t="s">
        <v>30</v>
      </c>
      <c r="L16" t="s">
        <v>18</v>
      </c>
      <c r="N16" t="s">
        <v>19</v>
      </c>
    </row>
    <row r="17" spans="2:12" x14ac:dyDescent="0.25">
      <c r="B17" t="s">
        <v>25</v>
      </c>
      <c r="E17" t="s">
        <v>31</v>
      </c>
    </row>
    <row r="18" spans="2:12" x14ac:dyDescent="0.25">
      <c r="B18" t="s">
        <v>26</v>
      </c>
      <c r="E18" t="s">
        <v>32</v>
      </c>
    </row>
    <row r="19" spans="2:12" x14ac:dyDescent="0.25">
      <c r="B19" t="s">
        <v>27</v>
      </c>
      <c r="E19" t="s">
        <v>33</v>
      </c>
    </row>
    <row r="20" spans="2:12" x14ac:dyDescent="0.25">
      <c r="B20" t="s">
        <v>28</v>
      </c>
    </row>
    <row r="21" spans="2:12" x14ac:dyDescent="0.25">
      <c r="B21" t="s">
        <v>29</v>
      </c>
    </row>
    <row r="22" spans="2:12" x14ac:dyDescent="0.25">
      <c r="C22" t="s">
        <v>34</v>
      </c>
    </row>
    <row r="23" spans="2:12" x14ac:dyDescent="0.25">
      <c r="C23" t="s">
        <v>35</v>
      </c>
    </row>
    <row r="24" spans="2:12" x14ac:dyDescent="0.25">
      <c r="C24" t="s">
        <v>36</v>
      </c>
    </row>
    <row r="25" spans="2:12" x14ac:dyDescent="0.25">
      <c r="B25" t="s">
        <v>42</v>
      </c>
    </row>
    <row r="28" spans="2:12" x14ac:dyDescent="0.25">
      <c r="B28">
        <v>100</v>
      </c>
      <c r="H28" t="s">
        <v>43</v>
      </c>
      <c r="I28">
        <v>95</v>
      </c>
    </row>
    <row r="29" spans="2:12" x14ac:dyDescent="0.25">
      <c r="B29">
        <v>90</v>
      </c>
      <c r="K29" t="s">
        <v>47</v>
      </c>
      <c r="L29" t="s">
        <v>54</v>
      </c>
    </row>
    <row r="30" spans="2:12" x14ac:dyDescent="0.25">
      <c r="B30">
        <v>80</v>
      </c>
      <c r="J30" t="s">
        <v>34</v>
      </c>
      <c r="K30" t="s">
        <v>49</v>
      </c>
      <c r="L30" t="s">
        <v>51</v>
      </c>
    </row>
    <row r="31" spans="2:12" x14ac:dyDescent="0.25">
      <c r="B31">
        <v>70</v>
      </c>
      <c r="H31" s="5" t="s">
        <v>46</v>
      </c>
      <c r="J31" t="s">
        <v>35</v>
      </c>
      <c r="K31" t="s">
        <v>48</v>
      </c>
      <c r="L31" t="s">
        <v>52</v>
      </c>
    </row>
    <row r="32" spans="2:12" x14ac:dyDescent="0.25">
      <c r="B32">
        <v>60</v>
      </c>
      <c r="G32" t="s">
        <v>2</v>
      </c>
      <c r="J32" t="s">
        <v>36</v>
      </c>
      <c r="K32" t="s">
        <v>50</v>
      </c>
      <c r="L32" t="s">
        <v>53</v>
      </c>
    </row>
    <row r="33" spans="2:12" x14ac:dyDescent="0.25">
      <c r="B33">
        <v>50</v>
      </c>
    </row>
    <row r="34" spans="2:12" x14ac:dyDescent="0.25">
      <c r="B34">
        <v>40</v>
      </c>
    </row>
    <row r="35" spans="2:12" x14ac:dyDescent="0.25">
      <c r="B35">
        <v>30</v>
      </c>
      <c r="H35" t="s">
        <v>44</v>
      </c>
      <c r="I35">
        <v>35</v>
      </c>
    </row>
    <row r="36" spans="2:12" x14ac:dyDescent="0.25">
      <c r="B36">
        <v>20</v>
      </c>
    </row>
    <row r="37" spans="2:12" x14ac:dyDescent="0.25">
      <c r="B37">
        <v>10</v>
      </c>
      <c r="H37" s="5" t="s">
        <v>45</v>
      </c>
    </row>
    <row r="38" spans="2:12" x14ac:dyDescent="0.25">
      <c r="B38">
        <v>0</v>
      </c>
      <c r="G38" t="s">
        <v>37</v>
      </c>
    </row>
    <row r="39" spans="2:12" x14ac:dyDescent="0.25">
      <c r="C39" s="5" t="s">
        <v>38</v>
      </c>
      <c r="D39" s="5" t="s">
        <v>39</v>
      </c>
      <c r="E39" s="5" t="s">
        <v>40</v>
      </c>
      <c r="F39" s="5" t="s">
        <v>41</v>
      </c>
    </row>
    <row r="42" spans="2:12" x14ac:dyDescent="0.25">
      <c r="B42" t="s">
        <v>56</v>
      </c>
    </row>
    <row r="43" spans="2:12" x14ac:dyDescent="0.25">
      <c r="J43" t="s">
        <v>66</v>
      </c>
      <c r="K43">
        <v>40</v>
      </c>
    </row>
    <row r="44" spans="2:12" x14ac:dyDescent="0.25">
      <c r="C44" t="s">
        <v>65</v>
      </c>
      <c r="D44" t="s">
        <v>58</v>
      </c>
      <c r="F44" t="s">
        <v>57</v>
      </c>
      <c r="H44" t="s">
        <v>61</v>
      </c>
      <c r="J44" t="s">
        <v>67</v>
      </c>
      <c r="K44">
        <v>10</v>
      </c>
    </row>
    <row r="45" spans="2:12" x14ac:dyDescent="0.25">
      <c r="J45" t="s">
        <v>68</v>
      </c>
      <c r="K45">
        <v>35</v>
      </c>
    </row>
    <row r="46" spans="2:12" x14ac:dyDescent="0.25">
      <c r="J46" t="s">
        <v>69</v>
      </c>
      <c r="K46">
        <v>45</v>
      </c>
    </row>
    <row r="47" spans="2:12" x14ac:dyDescent="0.25">
      <c r="J47" t="s">
        <v>70</v>
      </c>
      <c r="K47">
        <f>SUM(K43:K46)</f>
        <v>130</v>
      </c>
      <c r="L47" t="s">
        <v>71</v>
      </c>
    </row>
    <row r="48" spans="2:12" x14ac:dyDescent="0.25">
      <c r="C48" s="5" t="s">
        <v>4</v>
      </c>
      <c r="G48" t="s">
        <v>59</v>
      </c>
      <c r="H48" t="s">
        <v>62</v>
      </c>
      <c r="J48" t="s">
        <v>72</v>
      </c>
      <c r="K48">
        <v>-35</v>
      </c>
    </row>
    <row r="49" spans="3:12" x14ac:dyDescent="0.25">
      <c r="J49" t="s">
        <v>73</v>
      </c>
      <c r="K49">
        <f>SUM(K47:K48)</f>
        <v>95</v>
      </c>
      <c r="L49" t="s">
        <v>74</v>
      </c>
    </row>
    <row r="52" spans="3:12" x14ac:dyDescent="0.25">
      <c r="D52" t="s">
        <v>3</v>
      </c>
    </row>
    <row r="53" spans="3:12" x14ac:dyDescent="0.25">
      <c r="C53" t="s">
        <v>64</v>
      </c>
      <c r="F53" t="s">
        <v>60</v>
      </c>
    </row>
    <row r="54" spans="3:12" x14ac:dyDescent="0.25">
      <c r="F54" t="s">
        <v>63</v>
      </c>
    </row>
  </sheetData>
  <mergeCells count="1">
    <mergeCell ref="D7:F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F23" sqref="F23"/>
    </sheetView>
  </sheetViews>
  <sheetFormatPr defaultRowHeight="15" x14ac:dyDescent="0.25"/>
  <cols>
    <col min="1" max="1" width="23.85546875" bestFit="1" customWidth="1"/>
    <col min="2" max="2" width="12.85546875" bestFit="1" customWidth="1"/>
    <col min="4" max="4" width="11" bestFit="1" customWidth="1"/>
  </cols>
  <sheetData>
    <row r="2" spans="1:8" x14ac:dyDescent="0.25">
      <c r="A2" s="2" t="s">
        <v>194</v>
      </c>
    </row>
    <row r="3" spans="1:8" x14ac:dyDescent="0.25">
      <c r="B3" t="s">
        <v>195</v>
      </c>
      <c r="D3" t="s">
        <v>196</v>
      </c>
    </row>
    <row r="4" spans="1:8" x14ac:dyDescent="0.25">
      <c r="A4" t="s">
        <v>167</v>
      </c>
      <c r="B4" s="6">
        <f>50*12</f>
        <v>600</v>
      </c>
      <c r="C4" s="6">
        <v>1.2</v>
      </c>
      <c r="D4" s="6">
        <f>+B4*C4</f>
        <v>720</v>
      </c>
    </row>
    <row r="5" spans="1:8" x14ac:dyDescent="0.25">
      <c r="A5" t="s">
        <v>169</v>
      </c>
      <c r="B5" s="6">
        <f>-40*12</f>
        <v>-480</v>
      </c>
      <c r="C5" s="6">
        <v>1.2</v>
      </c>
      <c r="D5" s="6">
        <f>+B5*C5</f>
        <v>-576</v>
      </c>
    </row>
    <row r="6" spans="1:8" x14ac:dyDescent="0.25">
      <c r="A6" t="s">
        <v>197</v>
      </c>
      <c r="B6" s="6">
        <f>SUM(B4:B5)</f>
        <v>120</v>
      </c>
      <c r="C6" s="6"/>
      <c r="D6" s="6">
        <f>SUM(D4:D5)</f>
        <v>144</v>
      </c>
    </row>
    <row r="7" spans="1:8" x14ac:dyDescent="0.25">
      <c r="A7" t="s">
        <v>198</v>
      </c>
      <c r="B7" t="s">
        <v>199</v>
      </c>
      <c r="D7" s="7">
        <f>+D6-B6</f>
        <v>24</v>
      </c>
      <c r="E7" s="4" t="s">
        <v>174</v>
      </c>
      <c r="H7" s="6"/>
    </row>
    <row r="9" spans="1:8" x14ac:dyDescent="0.25">
      <c r="A9" s="21" t="s">
        <v>200</v>
      </c>
    </row>
    <row r="10" spans="1:8" x14ac:dyDescent="0.25">
      <c r="A10" t="s">
        <v>201</v>
      </c>
      <c r="B10" t="s">
        <v>202</v>
      </c>
      <c r="C10" s="6">
        <f>600/12</f>
        <v>50</v>
      </c>
    </row>
    <row r="11" spans="1:8" x14ac:dyDescent="0.25">
      <c r="A11" t="s">
        <v>203</v>
      </c>
      <c r="B11" t="s">
        <v>204</v>
      </c>
      <c r="C11" s="6">
        <f>720/12*2</f>
        <v>120</v>
      </c>
    </row>
    <row r="12" spans="1:8" x14ac:dyDescent="0.25">
      <c r="A12" t="s">
        <v>205</v>
      </c>
      <c r="C12" s="7">
        <f>+C11-C10</f>
        <v>70</v>
      </c>
    </row>
    <row r="13" spans="1:8" x14ac:dyDescent="0.25">
      <c r="A13" t="s">
        <v>185</v>
      </c>
      <c r="C13" t="s">
        <v>206</v>
      </c>
      <c r="D13" s="6">
        <f>70*0.125</f>
        <v>8.75</v>
      </c>
      <c r="E13" s="4" t="s">
        <v>187</v>
      </c>
    </row>
    <row r="14" spans="1:8" ht="15.75" thickBot="1" x14ac:dyDescent="0.3">
      <c r="A14" s="3" t="s">
        <v>207</v>
      </c>
      <c r="B14" s="3"/>
      <c r="C14" s="3"/>
      <c r="D14" s="34">
        <f>+D7-D13</f>
        <v>15.25</v>
      </c>
      <c r="E14" s="2" t="s">
        <v>208</v>
      </c>
    </row>
    <row r="15" spans="1:8" ht="15.75" thickTop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B22" sqref="B22"/>
    </sheetView>
  </sheetViews>
  <sheetFormatPr defaultRowHeight="15" x14ac:dyDescent="0.25"/>
  <cols>
    <col min="1" max="1" width="27.42578125" customWidth="1"/>
    <col min="2" max="2" width="39.28515625" bestFit="1" customWidth="1"/>
    <col min="3" max="3" width="9.5703125" bestFit="1" customWidth="1"/>
  </cols>
  <sheetData>
    <row r="2" spans="1:6" x14ac:dyDescent="0.25">
      <c r="A2" s="2" t="s">
        <v>209</v>
      </c>
      <c r="F2" t="s">
        <v>210</v>
      </c>
    </row>
    <row r="4" spans="1:6" x14ac:dyDescent="0.25">
      <c r="A4" t="s">
        <v>201</v>
      </c>
      <c r="B4" t="s">
        <v>211</v>
      </c>
      <c r="C4" s="6">
        <f>12000/360*90</f>
        <v>3000</v>
      </c>
    </row>
    <row r="5" spans="1:6" x14ac:dyDescent="0.25">
      <c r="A5" t="s">
        <v>203</v>
      </c>
      <c r="B5" t="s">
        <v>212</v>
      </c>
      <c r="C5" s="6">
        <f>(12000*0.5/360*60)+(12000*0.5/360*10)</f>
        <v>1166.6666666666667</v>
      </c>
    </row>
    <row r="6" spans="1:6" x14ac:dyDescent="0.25">
      <c r="A6" t="s">
        <v>213</v>
      </c>
      <c r="C6" s="7">
        <f>+C4-C5</f>
        <v>1833.3333333333333</v>
      </c>
    </row>
    <row r="8" spans="1:6" x14ac:dyDescent="0.25">
      <c r="A8" t="s">
        <v>214</v>
      </c>
      <c r="B8" t="s">
        <v>215</v>
      </c>
      <c r="C8">
        <f>+C6*0.2</f>
        <v>366.66666666666669</v>
      </c>
      <c r="D8" t="s">
        <v>174</v>
      </c>
    </row>
    <row r="9" spans="1:6" x14ac:dyDescent="0.25">
      <c r="A9" t="s">
        <v>216</v>
      </c>
      <c r="B9" t="s">
        <v>217</v>
      </c>
      <c r="C9" s="6">
        <f>12000*0.5*0.02</f>
        <v>120</v>
      </c>
      <c r="D9" t="s">
        <v>187</v>
      </c>
    </row>
    <row r="10" spans="1:6" ht="15.75" thickBot="1" x14ac:dyDescent="0.3">
      <c r="A10" s="3" t="s">
        <v>218</v>
      </c>
      <c r="B10" s="3"/>
      <c r="C10" s="34">
        <f>+C8-C9</f>
        <v>246.66666666666669</v>
      </c>
      <c r="D10" s="3" t="s">
        <v>219</v>
      </c>
    </row>
    <row r="11" spans="1:6" ht="15.75" thickTop="1" x14ac:dyDescent="0.25"/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D22" sqref="D22"/>
    </sheetView>
  </sheetViews>
  <sheetFormatPr defaultRowHeight="15" x14ac:dyDescent="0.25"/>
  <cols>
    <col min="1" max="1" width="24.85546875" bestFit="1" customWidth="1"/>
    <col min="2" max="2" width="23.42578125" customWidth="1"/>
    <col min="3" max="3" width="19.5703125" bestFit="1" customWidth="1"/>
    <col min="4" max="4" width="10.28515625" bestFit="1" customWidth="1"/>
  </cols>
  <sheetData>
    <row r="2" spans="1:5" x14ac:dyDescent="0.25">
      <c r="A2" s="2" t="s">
        <v>220</v>
      </c>
      <c r="B2" s="2"/>
    </row>
    <row r="4" spans="1:5" x14ac:dyDescent="0.25">
      <c r="A4" t="s">
        <v>221</v>
      </c>
      <c r="C4" t="s">
        <v>222</v>
      </c>
      <c r="D4" s="6">
        <f>1800*1.25</f>
        <v>2250</v>
      </c>
    </row>
    <row r="5" spans="1:5" x14ac:dyDescent="0.25">
      <c r="A5" t="s">
        <v>223</v>
      </c>
      <c r="C5" t="s">
        <v>225</v>
      </c>
      <c r="D5" s="6">
        <f>-1800*1.25*0.8*0.75</f>
        <v>-1350</v>
      </c>
    </row>
    <row r="6" spans="1:5" x14ac:dyDescent="0.25">
      <c r="A6" t="s">
        <v>197</v>
      </c>
      <c r="D6" s="29">
        <f>SUM(D4:D5)</f>
        <v>900</v>
      </c>
    </row>
    <row r="7" spans="1:5" x14ac:dyDescent="0.25">
      <c r="A7" t="s">
        <v>224</v>
      </c>
      <c r="D7" s="18">
        <f>+D6/D4</f>
        <v>0.4</v>
      </c>
    </row>
    <row r="9" spans="1:5" x14ac:dyDescent="0.25">
      <c r="A9" t="s">
        <v>226</v>
      </c>
      <c r="C9" t="s">
        <v>227</v>
      </c>
      <c r="D9" s="38">
        <f>+(2250-1800)*D7</f>
        <v>180</v>
      </c>
      <c r="E9" s="3" t="s">
        <v>174</v>
      </c>
    </row>
    <row r="11" spans="1:5" x14ac:dyDescent="0.25">
      <c r="A11" s="21" t="s">
        <v>228</v>
      </c>
      <c r="B11" s="21"/>
    </row>
    <row r="12" spans="1:5" x14ac:dyDescent="0.25">
      <c r="A12" t="s">
        <v>231</v>
      </c>
      <c r="C12" t="s">
        <v>230</v>
      </c>
      <c r="D12" s="6">
        <f>+(2250*0.03)-18</f>
        <v>49.5</v>
      </c>
    </row>
    <row r="13" spans="1:5" x14ac:dyDescent="0.25">
      <c r="A13" t="s">
        <v>232</v>
      </c>
    </row>
    <row r="14" spans="1:5" x14ac:dyDescent="0.25">
      <c r="A14" s="32" t="s">
        <v>233</v>
      </c>
      <c r="B14" t="s">
        <v>234</v>
      </c>
      <c r="C14" s="6">
        <f>1800/12*1</f>
        <v>150</v>
      </c>
    </row>
    <row r="15" spans="1:5" x14ac:dyDescent="0.25">
      <c r="A15" s="32" t="s">
        <v>180</v>
      </c>
      <c r="B15" t="s">
        <v>235</v>
      </c>
      <c r="C15" s="6">
        <f>2250/12*2</f>
        <v>375</v>
      </c>
    </row>
    <row r="16" spans="1:5" x14ac:dyDescent="0.25">
      <c r="A16" t="s">
        <v>236</v>
      </c>
      <c r="C16" s="7">
        <f>+C15-C14</f>
        <v>225</v>
      </c>
    </row>
    <row r="17" spans="1:5" x14ac:dyDescent="0.25">
      <c r="A17" t="s">
        <v>237</v>
      </c>
      <c r="C17" t="s">
        <v>238</v>
      </c>
      <c r="D17" s="9">
        <f>225*0.2</f>
        <v>45</v>
      </c>
    </row>
    <row r="18" spans="1:5" x14ac:dyDescent="0.25">
      <c r="A18" t="s">
        <v>228</v>
      </c>
      <c r="D18" s="36">
        <f>SUM(D12:D17)</f>
        <v>94.5</v>
      </c>
      <c r="E18" s="3" t="s">
        <v>187</v>
      </c>
    </row>
    <row r="19" spans="1:5" ht="15.75" thickBot="1" x14ac:dyDescent="0.3">
      <c r="A19" s="3" t="s">
        <v>207</v>
      </c>
      <c r="C19" t="s">
        <v>239</v>
      </c>
      <c r="D19" s="34">
        <f>D9-D18</f>
        <v>85.5</v>
      </c>
      <c r="E19" s="3" t="s">
        <v>240</v>
      </c>
    </row>
    <row r="20" spans="1:5" ht="15.75" thickTop="1" x14ac:dyDescent="0.25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workbookViewId="0">
      <selection activeCell="C23" sqref="C23"/>
    </sheetView>
  </sheetViews>
  <sheetFormatPr defaultRowHeight="15" x14ac:dyDescent="0.25"/>
  <cols>
    <col min="1" max="1" width="29.42578125" customWidth="1"/>
    <col min="2" max="2" width="31.7109375" customWidth="1"/>
    <col min="3" max="3" width="9.5703125" bestFit="1" customWidth="1"/>
    <col min="13" max="13" width="17.7109375" bestFit="1" customWidth="1"/>
  </cols>
  <sheetData>
    <row r="2" spans="1:15" x14ac:dyDescent="0.25">
      <c r="A2" s="2" t="s">
        <v>241</v>
      </c>
    </row>
    <row r="3" spans="1:15" x14ac:dyDescent="0.25">
      <c r="M3" t="s">
        <v>244</v>
      </c>
      <c r="N3" s="26">
        <v>0.14000000000000001</v>
      </c>
    </row>
    <row r="4" spans="1:15" x14ac:dyDescent="0.25">
      <c r="A4" s="3" t="s">
        <v>242</v>
      </c>
      <c r="M4" t="s">
        <v>245</v>
      </c>
      <c r="N4" s="26">
        <v>0.03</v>
      </c>
    </row>
    <row r="5" spans="1:15" x14ac:dyDescent="0.25">
      <c r="C5" t="s">
        <v>101</v>
      </c>
      <c r="M5" t="s">
        <v>246</v>
      </c>
      <c r="N5" s="26">
        <f>+N3-N4</f>
        <v>0.11000000000000001</v>
      </c>
    </row>
    <row r="6" spans="1:15" x14ac:dyDescent="0.25">
      <c r="A6" t="s">
        <v>237</v>
      </c>
      <c r="B6" t="s">
        <v>243</v>
      </c>
      <c r="C6" s="6">
        <f>1500/360*45*0.135</f>
        <v>25.3125</v>
      </c>
    </row>
    <row r="7" spans="1:15" x14ac:dyDescent="0.25">
      <c r="A7" t="s">
        <v>229</v>
      </c>
      <c r="B7" t="s">
        <v>249</v>
      </c>
      <c r="C7" s="6">
        <f>1500*0.5/100</f>
        <v>7.5</v>
      </c>
      <c r="M7" t="s">
        <v>247</v>
      </c>
      <c r="N7" t="s">
        <v>248</v>
      </c>
      <c r="O7" s="14">
        <v>0.13500000000000001</v>
      </c>
    </row>
    <row r="8" spans="1:15" x14ac:dyDescent="0.25">
      <c r="A8" t="s">
        <v>250</v>
      </c>
      <c r="C8" s="6">
        <v>30</v>
      </c>
    </row>
    <row r="9" spans="1:15" ht="15.75" thickBot="1" x14ac:dyDescent="0.3">
      <c r="A9" s="2" t="s">
        <v>251</v>
      </c>
      <c r="B9" s="2"/>
      <c r="C9" s="34">
        <f>SUM(C6:C8)</f>
        <v>62.8125</v>
      </c>
    </row>
    <row r="10" spans="1:15" ht="15.75" thickTop="1" x14ac:dyDescent="0.25"/>
    <row r="11" spans="1:15" x14ac:dyDescent="0.25">
      <c r="A11" s="2" t="s">
        <v>252</v>
      </c>
    </row>
    <row r="12" spans="1:15" x14ac:dyDescent="0.25">
      <c r="A12" t="s">
        <v>253</v>
      </c>
      <c r="B12" t="s">
        <v>254</v>
      </c>
      <c r="C12" s="6">
        <f>1500*0.8*30/360*0.14</f>
        <v>14.000000000000002</v>
      </c>
    </row>
    <row r="13" spans="1:15" x14ac:dyDescent="0.25">
      <c r="A13" s="37" t="s">
        <v>255</v>
      </c>
      <c r="B13" t="s">
        <v>256</v>
      </c>
      <c r="C13" s="6">
        <f>1500*0.2*30/360*0.135</f>
        <v>3.375</v>
      </c>
      <c r="D13" t="s">
        <v>262</v>
      </c>
    </row>
    <row r="14" spans="1:15" x14ac:dyDescent="0.25">
      <c r="A14" s="37" t="s">
        <v>257</v>
      </c>
      <c r="B14" t="s">
        <v>258</v>
      </c>
      <c r="C14" s="6">
        <f>1500*0.025</f>
        <v>37.5</v>
      </c>
    </row>
    <row r="15" spans="1:15" ht="15.75" thickBot="1" x14ac:dyDescent="0.3">
      <c r="C15" s="34">
        <f>SUM(C12:C14)</f>
        <v>54.875</v>
      </c>
    </row>
    <row r="16" spans="1:15" ht="15.75" thickTop="1" x14ac:dyDescent="0.25"/>
    <row r="17" spans="1:4" ht="15.75" thickBot="1" x14ac:dyDescent="0.3">
      <c r="A17" s="3" t="s">
        <v>259</v>
      </c>
      <c r="B17" s="3"/>
      <c r="C17" s="34">
        <f>+C9-C15</f>
        <v>7.9375</v>
      </c>
      <c r="D17" s="3" t="s">
        <v>260</v>
      </c>
    </row>
    <row r="18" spans="1:4" ht="15.75" thickTop="1" x14ac:dyDescent="0.25"/>
    <row r="19" spans="1:4" x14ac:dyDescent="0.25">
      <c r="A19" t="s">
        <v>261</v>
      </c>
    </row>
    <row r="20" spans="1:4" x14ac:dyDescent="0.25">
      <c r="A20" t="s">
        <v>261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C21" sqref="C21"/>
    </sheetView>
  </sheetViews>
  <sheetFormatPr defaultRowHeight="15" x14ac:dyDescent="0.25"/>
  <cols>
    <col min="2" max="2" width="20.85546875" bestFit="1" customWidth="1"/>
    <col min="3" max="3" width="15.5703125" bestFit="1" customWidth="1"/>
    <col min="4" max="4" width="18.85546875" bestFit="1" customWidth="1"/>
    <col min="5" max="5" width="15.140625" bestFit="1" customWidth="1"/>
  </cols>
  <sheetData>
    <row r="2" spans="1:7" x14ac:dyDescent="0.25">
      <c r="A2" s="2" t="s">
        <v>263</v>
      </c>
    </row>
    <row r="4" spans="1:7" x14ac:dyDescent="0.25">
      <c r="A4" t="s">
        <v>264</v>
      </c>
    </row>
    <row r="6" spans="1:7" x14ac:dyDescent="0.25">
      <c r="B6" t="s">
        <v>268</v>
      </c>
      <c r="C6" s="12" t="s">
        <v>121</v>
      </c>
      <c r="D6" t="s">
        <v>265</v>
      </c>
      <c r="F6" t="s">
        <v>267</v>
      </c>
    </row>
    <row r="7" spans="1:7" x14ac:dyDescent="0.25">
      <c r="D7" t="s">
        <v>266</v>
      </c>
    </row>
    <row r="8" spans="1:7" ht="15.75" thickBot="1" x14ac:dyDescent="0.3">
      <c r="D8" s="35">
        <f>2/98*360/35</f>
        <v>0.20991253644314867</v>
      </c>
    </row>
    <row r="9" spans="1:7" ht="15.75" thickTop="1" x14ac:dyDescent="0.25"/>
    <row r="10" spans="1:7" x14ac:dyDescent="0.25">
      <c r="A10" t="s">
        <v>276</v>
      </c>
    </row>
    <row r="11" spans="1:7" x14ac:dyDescent="0.25">
      <c r="D11" s="21" t="s">
        <v>269</v>
      </c>
      <c r="E11" s="21" t="s">
        <v>270</v>
      </c>
    </row>
    <row r="12" spans="1:7" x14ac:dyDescent="0.25">
      <c r="B12" t="s">
        <v>271</v>
      </c>
      <c r="D12" s="6">
        <v>1000</v>
      </c>
      <c r="E12" s="6">
        <f>1000*0.98</f>
        <v>980</v>
      </c>
      <c r="F12" t="s">
        <v>272</v>
      </c>
    </row>
    <row r="13" spans="1:7" x14ac:dyDescent="0.25">
      <c r="B13" t="s">
        <v>273</v>
      </c>
      <c r="C13" t="s">
        <v>274</v>
      </c>
      <c r="D13" s="6">
        <f>-980*0.25*35/360</f>
        <v>-23.819444444444443</v>
      </c>
    </row>
    <row r="14" spans="1:7" ht="15.75" thickBot="1" x14ac:dyDescent="0.3">
      <c r="B14" t="s">
        <v>275</v>
      </c>
      <c r="D14" s="8">
        <f>SUM(D12:D13)</f>
        <v>976.18055555555554</v>
      </c>
      <c r="E14" s="8">
        <f>SUM(E12:E13)</f>
        <v>980</v>
      </c>
      <c r="G14" s="3" t="s">
        <v>277</v>
      </c>
    </row>
    <row r="15" spans="1:7" ht="15.75" thickTop="1" x14ac:dyDescent="0.25"/>
    <row r="17" spans="1:7" x14ac:dyDescent="0.25">
      <c r="A17" t="s">
        <v>278</v>
      </c>
    </row>
    <row r="18" spans="1:7" x14ac:dyDescent="0.25">
      <c r="D18" s="21" t="s">
        <v>269</v>
      </c>
      <c r="E18" s="21" t="s">
        <v>270</v>
      </c>
    </row>
    <row r="19" spans="1:7" x14ac:dyDescent="0.25">
      <c r="B19" t="s">
        <v>271</v>
      </c>
      <c r="D19" s="6">
        <v>1000</v>
      </c>
      <c r="E19" s="6">
        <f>1000*0.98</f>
        <v>980</v>
      </c>
      <c r="F19" t="s">
        <v>272</v>
      </c>
    </row>
    <row r="20" spans="1:7" x14ac:dyDescent="0.25">
      <c r="B20" t="s">
        <v>273</v>
      </c>
      <c r="C20" t="s">
        <v>279</v>
      </c>
      <c r="D20" s="6">
        <f>-980*0.2099*35/360</f>
        <v>-19.998805555555556</v>
      </c>
    </row>
    <row r="21" spans="1:7" ht="15.75" thickBot="1" x14ac:dyDescent="0.3">
      <c r="B21" t="s">
        <v>275</v>
      </c>
      <c r="D21" s="8">
        <f>SUM(D19:D20)</f>
        <v>980.00119444444442</v>
      </c>
      <c r="E21" s="8">
        <f>SUM(E19:E20)</f>
        <v>980</v>
      </c>
      <c r="G21" s="3" t="s">
        <v>280</v>
      </c>
    </row>
    <row r="22" spans="1:7" ht="15.75" thickTop="1" x14ac:dyDescent="0.25"/>
    <row r="23" spans="1:7" x14ac:dyDescent="0.25">
      <c r="B23" s="3" t="s">
        <v>281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B22" sqref="B22"/>
    </sheetView>
  </sheetViews>
  <sheetFormatPr defaultRowHeight="15" x14ac:dyDescent="0.25"/>
  <cols>
    <col min="1" max="1" width="15.85546875" customWidth="1"/>
    <col min="2" max="2" width="30.140625" customWidth="1"/>
    <col min="3" max="3" width="15.28515625" bestFit="1" customWidth="1"/>
  </cols>
  <sheetData>
    <row r="2" spans="1:6" x14ac:dyDescent="0.25">
      <c r="A2" s="2" t="s">
        <v>282</v>
      </c>
    </row>
    <row r="4" spans="1:6" x14ac:dyDescent="0.25">
      <c r="A4" s="2" t="s">
        <v>283</v>
      </c>
    </row>
    <row r="6" spans="1:6" x14ac:dyDescent="0.25">
      <c r="A6" t="s">
        <v>284</v>
      </c>
      <c r="B6" t="s">
        <v>285</v>
      </c>
      <c r="C6" s="6">
        <f>4000*96000</f>
        <v>384000000</v>
      </c>
    </row>
    <row r="7" spans="1:6" x14ac:dyDescent="0.25">
      <c r="A7" t="s">
        <v>286</v>
      </c>
      <c r="B7" t="s">
        <v>287</v>
      </c>
      <c r="C7" s="6">
        <f>4000/500*300000</f>
        <v>2400000</v>
      </c>
      <c r="E7">
        <f>4000/500</f>
        <v>8</v>
      </c>
    </row>
    <row r="8" spans="1:6" x14ac:dyDescent="0.25">
      <c r="A8" t="s">
        <v>288</v>
      </c>
      <c r="B8" t="s">
        <v>289</v>
      </c>
      <c r="C8" s="6">
        <f>500/2*96000*0.1</f>
        <v>2400000</v>
      </c>
    </row>
    <row r="9" spans="1:6" ht="15.75" thickBot="1" x14ac:dyDescent="0.3">
      <c r="C9" s="8">
        <f>SUM(C6:C8)</f>
        <v>388800000</v>
      </c>
    </row>
    <row r="10" spans="1:6" ht="15.75" thickTop="1" x14ac:dyDescent="0.25"/>
    <row r="11" spans="1:6" x14ac:dyDescent="0.25">
      <c r="A11" s="2" t="s">
        <v>290</v>
      </c>
    </row>
    <row r="13" spans="1:6" x14ac:dyDescent="0.25">
      <c r="A13" t="s">
        <v>284</v>
      </c>
      <c r="B13" t="s">
        <v>285</v>
      </c>
      <c r="C13" s="6">
        <f>4000*96000</f>
        <v>384000000</v>
      </c>
      <c r="F13">
        <f>96000*0.92</f>
        <v>88320</v>
      </c>
    </row>
    <row r="14" spans="1:6" x14ac:dyDescent="0.25">
      <c r="A14" t="s">
        <v>291</v>
      </c>
      <c r="B14" t="s">
        <v>292</v>
      </c>
      <c r="C14" s="6">
        <f>-C13*0.08</f>
        <v>-30720000</v>
      </c>
    </row>
    <row r="15" spans="1:6" x14ac:dyDescent="0.25">
      <c r="A15" t="s">
        <v>286</v>
      </c>
      <c r="B15" t="s">
        <v>293</v>
      </c>
      <c r="C15" s="6">
        <f>4*300000</f>
        <v>1200000</v>
      </c>
    </row>
    <row r="16" spans="1:6" x14ac:dyDescent="0.25">
      <c r="A16" t="s">
        <v>288</v>
      </c>
      <c r="B16" t="s">
        <v>294</v>
      </c>
      <c r="C16" s="6">
        <f>500*96000*0.92*0.1</f>
        <v>4416000</v>
      </c>
    </row>
    <row r="17" spans="1:4" x14ac:dyDescent="0.25">
      <c r="C17" s="39">
        <f>SUM(C13:C16)</f>
        <v>358896000</v>
      </c>
    </row>
    <row r="18" spans="1:4" ht="15.75" thickBot="1" x14ac:dyDescent="0.3">
      <c r="A18" s="3" t="s">
        <v>295</v>
      </c>
      <c r="B18" s="3"/>
      <c r="C18" s="34">
        <f>+C9-C17</f>
        <v>29904000</v>
      </c>
      <c r="D18" s="4" t="s">
        <v>296</v>
      </c>
    </row>
    <row r="19" spans="1:4" ht="15.75" thickTop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C22" sqref="C22"/>
    </sheetView>
  </sheetViews>
  <sheetFormatPr defaultRowHeight="15" x14ac:dyDescent="0.25"/>
  <cols>
    <col min="1" max="1" width="30.42578125" bestFit="1" customWidth="1"/>
    <col min="2" max="2" width="14.28515625" bestFit="1" customWidth="1"/>
    <col min="3" max="3" width="23.42578125" bestFit="1" customWidth="1"/>
    <col min="4" max="4" width="14" bestFit="1" customWidth="1"/>
    <col min="8" max="8" width="13.42578125" bestFit="1" customWidth="1"/>
  </cols>
  <sheetData>
    <row r="2" spans="1:13" x14ac:dyDescent="0.25">
      <c r="A2" s="2" t="s">
        <v>297</v>
      </c>
      <c r="H2" t="s">
        <v>298</v>
      </c>
      <c r="I2" t="s">
        <v>300</v>
      </c>
      <c r="M2" t="s">
        <v>301</v>
      </c>
    </row>
    <row r="4" spans="1:13" x14ac:dyDescent="0.25">
      <c r="A4" t="s">
        <v>306</v>
      </c>
      <c r="B4" s="10" t="s">
        <v>307</v>
      </c>
      <c r="H4" t="s">
        <v>288</v>
      </c>
      <c r="I4" t="s">
        <v>299</v>
      </c>
      <c r="M4" t="s">
        <v>302</v>
      </c>
    </row>
    <row r="5" spans="1:13" x14ac:dyDescent="0.25">
      <c r="B5" t="s">
        <v>308</v>
      </c>
    </row>
    <row r="6" spans="1:13" x14ac:dyDescent="0.25">
      <c r="H6" t="s">
        <v>303</v>
      </c>
    </row>
    <row r="7" spans="1:13" x14ac:dyDescent="0.25">
      <c r="B7" s="10" t="s">
        <v>309</v>
      </c>
    </row>
    <row r="8" spans="1:13" x14ac:dyDescent="0.25">
      <c r="B8" s="13" t="s">
        <v>310</v>
      </c>
      <c r="D8" t="s">
        <v>311</v>
      </c>
      <c r="H8" t="s">
        <v>110</v>
      </c>
      <c r="I8" t="s">
        <v>304</v>
      </c>
    </row>
    <row r="9" spans="1:13" x14ac:dyDescent="0.25">
      <c r="I9" t="s">
        <v>305</v>
      </c>
    </row>
    <row r="10" spans="1:13" x14ac:dyDescent="0.25">
      <c r="B10" s="9">
        <f>2*125*300000</f>
        <v>75000000</v>
      </c>
    </row>
    <row r="11" spans="1:13" x14ac:dyDescent="0.25">
      <c r="B11" s="6">
        <v>30000</v>
      </c>
    </row>
    <row r="13" spans="1:13" x14ac:dyDescent="0.25">
      <c r="B13" s="7">
        <f>+B10/B11</f>
        <v>2500</v>
      </c>
    </row>
    <row r="15" spans="1:13" ht="15.75" thickBot="1" x14ac:dyDescent="0.3">
      <c r="B15" s="40">
        <v>50</v>
      </c>
    </row>
    <row r="16" spans="1:13" ht="15.75" thickTop="1" x14ac:dyDescent="0.25"/>
    <row r="17" spans="1:5" x14ac:dyDescent="0.25">
      <c r="A17" s="41" t="s">
        <v>312</v>
      </c>
    </row>
    <row r="18" spans="1:5" x14ac:dyDescent="0.25">
      <c r="A18" t="s">
        <v>313</v>
      </c>
      <c r="B18" t="s">
        <v>301</v>
      </c>
      <c r="C18" t="s">
        <v>314</v>
      </c>
      <c r="D18" s="6">
        <f>125/50*300000</f>
        <v>750000</v>
      </c>
    </row>
    <row r="19" spans="1:5" x14ac:dyDescent="0.25">
      <c r="A19" t="s">
        <v>316</v>
      </c>
      <c r="B19" t="s">
        <v>302</v>
      </c>
      <c r="C19" t="s">
        <v>315</v>
      </c>
      <c r="D19" s="6">
        <f>50/2*30000</f>
        <v>750000</v>
      </c>
    </row>
    <row r="20" spans="1:5" ht="15.75" thickBot="1" x14ac:dyDescent="0.3">
      <c r="D20" s="8">
        <f>SUM(D18:D19)</f>
        <v>1500000</v>
      </c>
    </row>
    <row r="21" spans="1:5" ht="15.75" thickTop="1" x14ac:dyDescent="0.25"/>
    <row r="22" spans="1:5" x14ac:dyDescent="0.25">
      <c r="A22" s="41" t="s">
        <v>317</v>
      </c>
    </row>
    <row r="23" spans="1:5" x14ac:dyDescent="0.25">
      <c r="A23" t="s">
        <v>313</v>
      </c>
      <c r="B23" t="s">
        <v>301</v>
      </c>
      <c r="C23" t="s">
        <v>318</v>
      </c>
      <c r="D23" s="6">
        <f>125/60*300000</f>
        <v>625000</v>
      </c>
    </row>
    <row r="24" spans="1:5" x14ac:dyDescent="0.25">
      <c r="A24" t="s">
        <v>316</v>
      </c>
      <c r="B24" t="s">
        <v>302</v>
      </c>
      <c r="C24" t="s">
        <v>319</v>
      </c>
      <c r="D24" s="6">
        <f>60/2*30000</f>
        <v>900000</v>
      </c>
    </row>
    <row r="25" spans="1:5" x14ac:dyDescent="0.25">
      <c r="A25" t="s">
        <v>320</v>
      </c>
      <c r="C25" t="s">
        <v>321</v>
      </c>
      <c r="D25" s="6">
        <f>-125*200000*0.03</f>
        <v>-750000</v>
      </c>
    </row>
    <row r="26" spans="1:5" ht="15.75" thickBot="1" x14ac:dyDescent="0.3">
      <c r="D26" s="8">
        <f>SUM(D23:D25)</f>
        <v>775000</v>
      </c>
    </row>
    <row r="27" spans="1:5" ht="15.75" thickTop="1" x14ac:dyDescent="0.25"/>
    <row r="28" spans="1:5" x14ac:dyDescent="0.25">
      <c r="A28" s="41" t="s">
        <v>322</v>
      </c>
    </row>
    <row r="29" spans="1:5" x14ac:dyDescent="0.25">
      <c r="A29" t="s">
        <v>313</v>
      </c>
      <c r="B29" t="s">
        <v>301</v>
      </c>
      <c r="C29" t="s">
        <v>323</v>
      </c>
      <c r="D29" s="6">
        <f>125/90*300000</f>
        <v>416666.66666666663</v>
      </c>
    </row>
    <row r="30" spans="1:5" x14ac:dyDescent="0.25">
      <c r="A30" t="s">
        <v>316</v>
      </c>
      <c r="B30" t="s">
        <v>302</v>
      </c>
      <c r="C30" t="s">
        <v>324</v>
      </c>
      <c r="D30" s="6">
        <f>90/2*30000</f>
        <v>1350000</v>
      </c>
    </row>
    <row r="31" spans="1:5" x14ac:dyDescent="0.25">
      <c r="A31" t="s">
        <v>320</v>
      </c>
      <c r="C31" t="s">
        <v>325</v>
      </c>
      <c r="D31" s="6">
        <f>-125*200000*0.05</f>
        <v>-1250000</v>
      </c>
    </row>
    <row r="32" spans="1:5" ht="15.75" thickBot="1" x14ac:dyDescent="0.3">
      <c r="D32" s="34">
        <f>SUM(D29:D31)</f>
        <v>516666.66666666651</v>
      </c>
      <c r="E32" s="3" t="s">
        <v>326</v>
      </c>
    </row>
    <row r="33" ht="15.75" thickTop="1" x14ac:dyDescent="0.25"/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E21" sqref="E21"/>
    </sheetView>
  </sheetViews>
  <sheetFormatPr defaultRowHeight="15" x14ac:dyDescent="0.25"/>
  <cols>
    <col min="1" max="1" width="32.7109375" bestFit="1" customWidth="1"/>
    <col min="9" max="9" width="23.5703125" customWidth="1"/>
  </cols>
  <sheetData>
    <row r="2" spans="1:14" x14ac:dyDescent="0.25">
      <c r="A2" s="2" t="s">
        <v>327</v>
      </c>
    </row>
    <row r="4" spans="1:14" x14ac:dyDescent="0.25">
      <c r="A4" s="2" t="s">
        <v>328</v>
      </c>
    </row>
    <row r="5" spans="1:14" x14ac:dyDescent="0.25">
      <c r="A5" t="s">
        <v>99</v>
      </c>
    </row>
    <row r="6" spans="1:14" x14ac:dyDescent="0.25">
      <c r="A6" t="s">
        <v>329</v>
      </c>
      <c r="J6">
        <v>90</v>
      </c>
      <c r="K6">
        <v>70</v>
      </c>
      <c r="L6">
        <v>50</v>
      </c>
      <c r="M6">
        <v>30</v>
      </c>
    </row>
    <row r="7" spans="1:14" x14ac:dyDescent="0.25">
      <c r="B7" s="42" t="s">
        <v>330</v>
      </c>
      <c r="C7" s="42" t="s">
        <v>158</v>
      </c>
      <c r="D7" s="42" t="s">
        <v>331</v>
      </c>
      <c r="E7" s="42" t="s">
        <v>332</v>
      </c>
      <c r="H7" s="42" t="s">
        <v>333</v>
      </c>
      <c r="J7" s="42" t="s">
        <v>330</v>
      </c>
      <c r="K7" s="42" t="s">
        <v>158</v>
      </c>
      <c r="L7" s="42" t="s">
        <v>331</v>
      </c>
      <c r="M7" s="42" t="s">
        <v>332</v>
      </c>
    </row>
    <row r="8" spans="1:14" x14ac:dyDescent="0.25">
      <c r="A8" t="s">
        <v>197</v>
      </c>
      <c r="B8" s="6">
        <f>160*0.2</f>
        <v>32</v>
      </c>
      <c r="C8" s="6">
        <f>140*0.2</f>
        <v>28</v>
      </c>
      <c r="D8" s="6">
        <f>135*0.2</f>
        <v>27</v>
      </c>
      <c r="E8" s="6">
        <f>120*0.2</f>
        <v>24</v>
      </c>
      <c r="H8" s="42"/>
      <c r="I8" t="s">
        <v>167</v>
      </c>
      <c r="J8" s="43">
        <v>160</v>
      </c>
      <c r="K8" s="43">
        <v>140</v>
      </c>
      <c r="L8" s="43">
        <v>135</v>
      </c>
      <c r="M8" s="43">
        <v>120</v>
      </c>
    </row>
    <row r="9" spans="1:14" x14ac:dyDescent="0.25">
      <c r="A9" t="s">
        <v>334</v>
      </c>
      <c r="B9" s="9">
        <v>-10</v>
      </c>
      <c r="C9" s="9">
        <v>-10</v>
      </c>
      <c r="D9" s="9">
        <v>-10</v>
      </c>
      <c r="E9" s="9">
        <v>-10</v>
      </c>
      <c r="I9" t="s">
        <v>335</v>
      </c>
      <c r="J9" s="6">
        <f>J8*J6/360</f>
        <v>40</v>
      </c>
      <c r="K9" s="6">
        <f>K8*K6/360</f>
        <v>27.222222222222221</v>
      </c>
      <c r="L9" s="6">
        <f t="shared" ref="L9:M9" si="0">L8*L6/360</f>
        <v>18.75</v>
      </c>
      <c r="M9" s="6">
        <f t="shared" si="0"/>
        <v>10</v>
      </c>
      <c r="N9" s="4" t="s">
        <v>336</v>
      </c>
    </row>
    <row r="10" spans="1:14" x14ac:dyDescent="0.25">
      <c r="A10" t="s">
        <v>337</v>
      </c>
      <c r="B10" s="7">
        <f>SUM(B8:B9)</f>
        <v>22</v>
      </c>
      <c r="C10" s="7">
        <f t="shared" ref="C10:E10" si="1">SUM(C8:C9)</f>
        <v>18</v>
      </c>
      <c r="D10" s="7">
        <f t="shared" si="1"/>
        <v>17</v>
      </c>
      <c r="E10" s="7">
        <f t="shared" si="1"/>
        <v>14</v>
      </c>
      <c r="I10" t="s">
        <v>338</v>
      </c>
      <c r="J10" s="6">
        <f>+J9*0.2</f>
        <v>8</v>
      </c>
      <c r="K10" s="6">
        <f t="shared" ref="K10:M10" si="2">+K9*0.2</f>
        <v>5.4444444444444446</v>
      </c>
      <c r="L10" s="6">
        <f t="shared" si="2"/>
        <v>3.75</v>
      </c>
      <c r="M10" s="6">
        <f t="shared" si="2"/>
        <v>2</v>
      </c>
    </row>
    <row r="11" spans="1:14" x14ac:dyDescent="0.25">
      <c r="A11" t="s">
        <v>339</v>
      </c>
      <c r="B11" s="7">
        <f>-J10</f>
        <v>-8</v>
      </c>
      <c r="C11" s="7">
        <f t="shared" ref="C11:E11" si="3">-K10</f>
        <v>-5.4444444444444446</v>
      </c>
      <c r="D11" s="7">
        <f t="shared" si="3"/>
        <v>-3.75</v>
      </c>
      <c r="E11" s="7">
        <f t="shared" si="3"/>
        <v>-2</v>
      </c>
    </row>
    <row r="12" spans="1:14" ht="15.75" thickBot="1" x14ac:dyDescent="0.3">
      <c r="A12" s="4" t="s">
        <v>340</v>
      </c>
      <c r="B12" s="44">
        <f>SUM(B10:B11)</f>
        <v>14</v>
      </c>
      <c r="C12" s="44">
        <f t="shared" ref="C12:E12" si="4">SUM(C10:C11)</f>
        <v>12.555555555555555</v>
      </c>
      <c r="D12" s="44">
        <f t="shared" si="4"/>
        <v>13.25</v>
      </c>
      <c r="E12" s="44">
        <f t="shared" si="4"/>
        <v>12</v>
      </c>
      <c r="I12" s="4" t="s">
        <v>341</v>
      </c>
      <c r="J12" s="38">
        <f>J8*J6/360*0.8</f>
        <v>32</v>
      </c>
      <c r="K12" s="38">
        <f t="shared" ref="K12:M12" si="5">K8*K6/360*0.8</f>
        <v>21.777777777777779</v>
      </c>
      <c r="L12" s="38">
        <f t="shared" si="5"/>
        <v>15</v>
      </c>
      <c r="M12" s="38">
        <f t="shared" si="5"/>
        <v>8</v>
      </c>
    </row>
    <row r="13" spans="1:14" ht="15.75" thickTop="1" x14ac:dyDescent="0.25"/>
    <row r="14" spans="1:14" x14ac:dyDescent="0.25">
      <c r="A14" s="3" t="s">
        <v>342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D22" sqref="D22"/>
    </sheetView>
  </sheetViews>
  <sheetFormatPr defaultRowHeight="15" x14ac:dyDescent="0.25"/>
  <cols>
    <col min="1" max="1" width="26.140625" bestFit="1" customWidth="1"/>
    <col min="2" max="2" width="19.140625" customWidth="1"/>
    <col min="6" max="6" width="14.140625" customWidth="1"/>
    <col min="8" max="8" width="11.7109375" customWidth="1"/>
  </cols>
  <sheetData>
    <row r="2" spans="1:8" x14ac:dyDescent="0.25">
      <c r="A2" s="2" t="s">
        <v>343</v>
      </c>
    </row>
    <row r="4" spans="1:8" x14ac:dyDescent="0.25">
      <c r="A4" t="s">
        <v>191</v>
      </c>
    </row>
    <row r="5" spans="1:8" x14ac:dyDescent="0.25">
      <c r="A5" t="s">
        <v>344</v>
      </c>
      <c r="B5" s="10" t="s">
        <v>304</v>
      </c>
    </row>
    <row r="6" spans="1:8" x14ac:dyDescent="0.25">
      <c r="B6" t="s">
        <v>305</v>
      </c>
    </row>
    <row r="8" spans="1:8" x14ac:dyDescent="0.25">
      <c r="B8" s="10" t="s">
        <v>345</v>
      </c>
      <c r="F8" t="s">
        <v>346</v>
      </c>
      <c r="H8" t="s">
        <v>347</v>
      </c>
    </row>
    <row r="9" spans="1:8" x14ac:dyDescent="0.25">
      <c r="B9" t="s">
        <v>348</v>
      </c>
    </row>
    <row r="10" spans="1:8" x14ac:dyDescent="0.25">
      <c r="F10" t="s">
        <v>349</v>
      </c>
      <c r="G10" s="12" t="s">
        <v>121</v>
      </c>
      <c r="H10" t="s">
        <v>350</v>
      </c>
    </row>
    <row r="11" spans="1:8" x14ac:dyDescent="0.25">
      <c r="B11" s="9">
        <f>2*480000*128000</f>
        <v>122880000000</v>
      </c>
      <c r="H11" t="s">
        <v>351</v>
      </c>
    </row>
    <row r="12" spans="1:8" x14ac:dyDescent="0.25">
      <c r="B12" s="6">
        <f>50+(5000*0.1608)</f>
        <v>854</v>
      </c>
      <c r="H12" s="19">
        <f>(1+0.15/12)^12-1</f>
        <v>0.16075451772299854</v>
      </c>
    </row>
    <row r="14" spans="1:8" x14ac:dyDescent="0.25">
      <c r="B14" s="6">
        <f>B11/B12</f>
        <v>143887587.82201406</v>
      </c>
    </row>
    <row r="16" spans="1:8" ht="15.75" thickBot="1" x14ac:dyDescent="0.3">
      <c r="B16" s="45" t="s">
        <v>352</v>
      </c>
    </row>
    <row r="17" spans="1:11" ht="15.75" thickTop="1" x14ac:dyDescent="0.25">
      <c r="H17" t="s">
        <v>353</v>
      </c>
      <c r="I17" s="46">
        <v>2700</v>
      </c>
      <c r="K17" s="47">
        <v>30</v>
      </c>
    </row>
    <row r="18" spans="1:11" x14ac:dyDescent="0.25">
      <c r="H18" t="s">
        <v>354</v>
      </c>
      <c r="I18">
        <v>500</v>
      </c>
      <c r="K18">
        <v>10</v>
      </c>
    </row>
    <row r="19" spans="1:11" x14ac:dyDescent="0.25">
      <c r="A19" t="s">
        <v>355</v>
      </c>
      <c r="B19" s="12" t="s">
        <v>356</v>
      </c>
      <c r="H19" s="12" t="s">
        <v>357</v>
      </c>
      <c r="I19">
        <f>1600*2</f>
        <v>3200</v>
      </c>
      <c r="K19">
        <v>40</v>
      </c>
    </row>
    <row r="20" spans="1:11" x14ac:dyDescent="0.25">
      <c r="B20" t="s">
        <v>358</v>
      </c>
      <c r="H20" t="s">
        <v>359</v>
      </c>
      <c r="I20" t="s">
        <v>360</v>
      </c>
      <c r="K20" t="s">
        <v>361</v>
      </c>
    </row>
    <row r="21" spans="1:11" ht="15.75" thickBot="1" x14ac:dyDescent="0.3">
      <c r="B21" s="48">
        <f>2700*30</f>
        <v>81000</v>
      </c>
      <c r="C21" s="49" t="s">
        <v>362</v>
      </c>
    </row>
    <row r="22" spans="1:11" ht="15.75" thickTop="1" x14ac:dyDescent="0.25"/>
    <row r="24" spans="1:11" x14ac:dyDescent="0.25">
      <c r="A24" t="s">
        <v>363</v>
      </c>
      <c r="B24" s="12" t="s">
        <v>364</v>
      </c>
    </row>
    <row r="25" spans="1:11" x14ac:dyDescent="0.25">
      <c r="B25" t="s">
        <v>365</v>
      </c>
    </row>
    <row r="26" spans="1:11" ht="15.75" thickBot="1" x14ac:dyDescent="0.3">
      <c r="B26" s="48">
        <f>81000+11995-5000</f>
        <v>87995</v>
      </c>
      <c r="C26" s="49" t="s">
        <v>362</v>
      </c>
    </row>
    <row r="27" spans="1:11" ht="15.75" thickTop="1" x14ac:dyDescent="0.25"/>
    <row r="29" spans="1:11" x14ac:dyDescent="0.25">
      <c r="A29" t="s">
        <v>366</v>
      </c>
      <c r="B29" s="12" t="s">
        <v>367</v>
      </c>
    </row>
    <row r="30" spans="1:11" x14ac:dyDescent="0.25">
      <c r="B30" t="s">
        <v>368</v>
      </c>
    </row>
    <row r="31" spans="1:11" ht="15.75" thickBot="1" x14ac:dyDescent="0.3">
      <c r="B31" s="40">
        <f>81000-(1600*20)</f>
        <v>49000</v>
      </c>
      <c r="C31" s="50" t="s">
        <v>362</v>
      </c>
    </row>
    <row r="32" spans="1:11" ht="15.75" thickTop="1" x14ac:dyDescent="0.25"/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E21" sqref="E21"/>
    </sheetView>
  </sheetViews>
  <sheetFormatPr defaultRowHeight="15" x14ac:dyDescent="0.25"/>
  <cols>
    <col min="2" max="2" width="40" bestFit="1" customWidth="1"/>
    <col min="6" max="6" width="40" bestFit="1" customWidth="1"/>
    <col min="7" max="7" width="18.7109375" bestFit="1" customWidth="1"/>
  </cols>
  <sheetData>
    <row r="2" spans="1:8" x14ac:dyDescent="0.25">
      <c r="A2" s="2" t="s">
        <v>98</v>
      </c>
    </row>
    <row r="3" spans="1:8" x14ac:dyDescent="0.25">
      <c r="D3" t="s">
        <v>101</v>
      </c>
      <c r="H3" s="5" t="s">
        <v>101</v>
      </c>
    </row>
    <row r="4" spans="1:8" x14ac:dyDescent="0.25">
      <c r="A4" t="s">
        <v>99</v>
      </c>
      <c r="B4" t="s">
        <v>100</v>
      </c>
      <c r="D4" s="6">
        <v>60</v>
      </c>
      <c r="F4" t="s">
        <v>104</v>
      </c>
      <c r="G4" t="s">
        <v>105</v>
      </c>
      <c r="H4" s="6">
        <v>200</v>
      </c>
    </row>
    <row r="5" spans="1:8" x14ac:dyDescent="0.25">
      <c r="B5" t="s">
        <v>102</v>
      </c>
      <c r="D5" s="6">
        <v>-35</v>
      </c>
      <c r="F5" t="s">
        <v>106</v>
      </c>
      <c r="G5" t="s">
        <v>107</v>
      </c>
      <c r="H5" s="6">
        <v>225</v>
      </c>
    </row>
    <row r="6" spans="1:8" ht="15.75" thickBot="1" x14ac:dyDescent="0.3">
      <c r="B6" t="s">
        <v>103</v>
      </c>
      <c r="D6" s="8">
        <f>SUM(D4:D5)</f>
        <v>25</v>
      </c>
      <c r="F6" t="s">
        <v>103</v>
      </c>
      <c r="H6" s="8">
        <f>H5-H4</f>
        <v>25</v>
      </c>
    </row>
    <row r="7" spans="1:8" ht="15.75" thickTop="1" x14ac:dyDescent="0.25"/>
    <row r="8" spans="1:8" x14ac:dyDescent="0.25">
      <c r="B8" t="s">
        <v>108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22" sqref="A22"/>
    </sheetView>
  </sheetViews>
  <sheetFormatPr defaultRowHeight="15" x14ac:dyDescent="0.25"/>
  <cols>
    <col min="1" max="1" width="28.5703125" bestFit="1" customWidth="1"/>
    <col min="2" max="2" width="10.85546875" bestFit="1" customWidth="1"/>
  </cols>
  <sheetData>
    <row r="2" spans="1:3" x14ac:dyDescent="0.25">
      <c r="A2" s="2" t="s">
        <v>75</v>
      </c>
    </row>
    <row r="3" spans="1:3" x14ac:dyDescent="0.25">
      <c r="C3" s="5" t="s">
        <v>78</v>
      </c>
    </row>
    <row r="4" spans="1:3" x14ac:dyDescent="0.25">
      <c r="A4" t="s">
        <v>76</v>
      </c>
      <c r="B4" t="s">
        <v>77</v>
      </c>
      <c r="C4" s="6">
        <f>365/11</f>
        <v>33.18181818181818</v>
      </c>
    </row>
    <row r="5" spans="1:3" x14ac:dyDescent="0.25">
      <c r="A5" t="s">
        <v>79</v>
      </c>
      <c r="B5" t="s">
        <v>80</v>
      </c>
      <c r="C5" s="6">
        <f>365/9</f>
        <v>40.555555555555557</v>
      </c>
    </row>
    <row r="6" spans="1:3" x14ac:dyDescent="0.25">
      <c r="C6" s="6">
        <f>SUM(C4:C5)</f>
        <v>73.73737373737373</v>
      </c>
    </row>
    <row r="7" spans="1:3" x14ac:dyDescent="0.25">
      <c r="A7" t="s">
        <v>81</v>
      </c>
      <c r="B7" t="s">
        <v>82</v>
      </c>
      <c r="C7" s="6">
        <f>-365/8</f>
        <v>-45.625</v>
      </c>
    </row>
    <row r="8" spans="1:3" ht="15.75" thickBot="1" x14ac:dyDescent="0.3">
      <c r="A8" t="s">
        <v>83</v>
      </c>
      <c r="C8" s="8">
        <f>SUM(C6:C7)</f>
        <v>28.11237373737373</v>
      </c>
    </row>
    <row r="9" spans="1:3" ht="15.75" thickTop="1" x14ac:dyDescent="0.25"/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E23" sqref="E23"/>
    </sheetView>
  </sheetViews>
  <sheetFormatPr defaultRowHeight="15" x14ac:dyDescent="0.25"/>
  <cols>
    <col min="1" max="1" width="30.5703125" customWidth="1"/>
    <col min="2" max="2" width="12.42578125" customWidth="1"/>
    <col min="3" max="3" width="12.7109375" customWidth="1"/>
    <col min="4" max="4" width="12.140625" customWidth="1"/>
  </cols>
  <sheetData>
    <row r="2" spans="1:12" x14ac:dyDescent="0.25">
      <c r="A2" s="2" t="s">
        <v>369</v>
      </c>
      <c r="B2" s="2" t="s">
        <v>370</v>
      </c>
    </row>
    <row r="4" spans="1:12" x14ac:dyDescent="0.25">
      <c r="A4" t="s">
        <v>371</v>
      </c>
      <c r="C4" s="51" t="s">
        <v>372</v>
      </c>
      <c r="D4" s="51" t="s">
        <v>27</v>
      </c>
    </row>
    <row r="5" spans="1:12" x14ac:dyDescent="0.25">
      <c r="A5" t="s">
        <v>79</v>
      </c>
      <c r="B5" t="s">
        <v>373</v>
      </c>
      <c r="C5" s="6">
        <f>3.2/16*365</f>
        <v>73</v>
      </c>
      <c r="D5" s="7">
        <f>+C14</f>
        <v>45</v>
      </c>
      <c r="E5" t="s">
        <v>374</v>
      </c>
      <c r="H5" t="s">
        <v>375</v>
      </c>
      <c r="J5" t="s">
        <v>376</v>
      </c>
      <c r="K5" t="s">
        <v>377</v>
      </c>
      <c r="L5">
        <v>16</v>
      </c>
    </row>
    <row r="6" spans="1:12" x14ac:dyDescent="0.25">
      <c r="A6" t="s">
        <v>76</v>
      </c>
      <c r="B6" t="s">
        <v>378</v>
      </c>
      <c r="C6" s="9">
        <f>3.4/20*365</f>
        <v>62.05</v>
      </c>
      <c r="D6" s="52">
        <f>+C15</f>
        <v>30</v>
      </c>
      <c r="E6" t="s">
        <v>379</v>
      </c>
    </row>
    <row r="7" spans="1:12" x14ac:dyDescent="0.25">
      <c r="C7" s="6">
        <f>SUM(C5:C6)</f>
        <v>135.05000000000001</v>
      </c>
      <c r="D7" s="6">
        <f>SUM(D5:D6)</f>
        <v>75</v>
      </c>
    </row>
    <row r="8" spans="1:12" x14ac:dyDescent="0.25">
      <c r="A8" t="s">
        <v>380</v>
      </c>
      <c r="B8" t="s">
        <v>381</v>
      </c>
      <c r="C8" s="6">
        <f>-1.4/16*365</f>
        <v>-31.937499999999996</v>
      </c>
      <c r="D8" s="7">
        <f>-C16</f>
        <v>-40</v>
      </c>
      <c r="E8" t="s">
        <v>382</v>
      </c>
    </row>
    <row r="9" spans="1:12" ht="15.75" thickBot="1" x14ac:dyDescent="0.3">
      <c r="A9" t="s">
        <v>383</v>
      </c>
      <c r="C9" s="53">
        <f>SUM(C7:C8)</f>
        <v>103.11250000000001</v>
      </c>
      <c r="D9" s="53">
        <f>SUM(D7:D8)</f>
        <v>35</v>
      </c>
    </row>
    <row r="10" spans="1:12" ht="15.75" thickTop="1" x14ac:dyDescent="0.25"/>
    <row r="12" spans="1:12" x14ac:dyDescent="0.25">
      <c r="A12" t="s">
        <v>384</v>
      </c>
    </row>
    <row r="13" spans="1:12" x14ac:dyDescent="0.25">
      <c r="B13" s="51" t="s">
        <v>372</v>
      </c>
      <c r="C13" s="51" t="s">
        <v>27</v>
      </c>
    </row>
    <row r="14" spans="1:12" x14ac:dyDescent="0.25">
      <c r="A14" t="s">
        <v>79</v>
      </c>
      <c r="B14" s="7">
        <f>+C5</f>
        <v>73</v>
      </c>
      <c r="C14" s="6">
        <v>45</v>
      </c>
      <c r="D14" t="s">
        <v>385</v>
      </c>
    </row>
    <row r="15" spans="1:12" x14ac:dyDescent="0.25">
      <c r="A15" t="s">
        <v>76</v>
      </c>
      <c r="B15" s="7">
        <f>+C6</f>
        <v>62.05</v>
      </c>
      <c r="C15" s="6">
        <v>30</v>
      </c>
      <c r="D15" t="s">
        <v>385</v>
      </c>
    </row>
    <row r="16" spans="1:12" x14ac:dyDescent="0.25">
      <c r="A16" t="s">
        <v>386</v>
      </c>
      <c r="B16" s="7">
        <f>-C8</f>
        <v>31.937499999999996</v>
      </c>
      <c r="C16" s="6">
        <v>40</v>
      </c>
      <c r="D16" t="s">
        <v>385</v>
      </c>
    </row>
    <row r="17" spans="1:4" x14ac:dyDescent="0.25">
      <c r="A17" t="s">
        <v>387</v>
      </c>
      <c r="B17" s="26">
        <v>0.4</v>
      </c>
      <c r="C17" s="26">
        <v>0.15</v>
      </c>
      <c r="D17" t="s">
        <v>385</v>
      </c>
    </row>
    <row r="18" spans="1:4" x14ac:dyDescent="0.25">
      <c r="A18" t="s">
        <v>83</v>
      </c>
      <c r="B18" s="7">
        <f>+C9</f>
        <v>103.11250000000001</v>
      </c>
      <c r="C18" s="7">
        <f>+D9</f>
        <v>35</v>
      </c>
      <c r="D18" t="s">
        <v>385</v>
      </c>
    </row>
    <row r="20" spans="1:4" x14ac:dyDescent="0.25">
      <c r="A20" t="s">
        <v>388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B22" sqref="B22"/>
    </sheetView>
  </sheetViews>
  <sheetFormatPr defaultRowHeight="15" x14ac:dyDescent="0.25"/>
  <cols>
    <col min="1" max="1" width="28.5703125" bestFit="1" customWidth="1"/>
    <col min="2" max="2" width="25.140625" bestFit="1" customWidth="1"/>
    <col min="6" max="6" width="11.28515625" bestFit="1" customWidth="1"/>
  </cols>
  <sheetData>
    <row r="2" spans="1:7" x14ac:dyDescent="0.25">
      <c r="A2" s="2" t="s">
        <v>84</v>
      </c>
    </row>
    <row r="3" spans="1:7" x14ac:dyDescent="0.25">
      <c r="C3" s="5" t="s">
        <v>78</v>
      </c>
    </row>
    <row r="4" spans="1:7" x14ac:dyDescent="0.25">
      <c r="A4" t="s">
        <v>85</v>
      </c>
      <c r="B4" t="s">
        <v>89</v>
      </c>
      <c r="C4" s="6">
        <f>((20+15)/2)/180*365</f>
        <v>35.486111111111114</v>
      </c>
    </row>
    <row r="5" spans="1:7" x14ac:dyDescent="0.25">
      <c r="A5" t="s">
        <v>86</v>
      </c>
      <c r="B5" t="s">
        <v>90</v>
      </c>
      <c r="C5" s="6">
        <f>((25+20)/2)/180*365</f>
        <v>45.625</v>
      </c>
      <c r="F5" t="s">
        <v>95</v>
      </c>
      <c r="G5" s="6">
        <v>10</v>
      </c>
    </row>
    <row r="6" spans="1:7" x14ac:dyDescent="0.25">
      <c r="A6" t="s">
        <v>87</v>
      </c>
      <c r="B6" t="s">
        <v>91</v>
      </c>
      <c r="C6" s="6">
        <f>((15+10)/2)/180*365</f>
        <v>25.347222222222225</v>
      </c>
      <c r="F6" t="s">
        <v>96</v>
      </c>
      <c r="G6" s="6">
        <f>195-10</f>
        <v>185</v>
      </c>
    </row>
    <row r="7" spans="1:7" x14ac:dyDescent="0.25">
      <c r="A7" t="s">
        <v>88</v>
      </c>
      <c r="B7" t="s">
        <v>92</v>
      </c>
      <c r="C7" s="9">
        <f>((40+35)/2)/225*365</f>
        <v>60.833333333333329</v>
      </c>
      <c r="G7" s="6">
        <f>180+15</f>
        <v>195</v>
      </c>
    </row>
    <row r="8" spans="1:7" x14ac:dyDescent="0.25">
      <c r="C8" s="6">
        <f>SUM(C4:C7)</f>
        <v>167.29166666666669</v>
      </c>
      <c r="F8" t="s">
        <v>94</v>
      </c>
      <c r="G8" s="6">
        <v>-15</v>
      </c>
    </row>
    <row r="9" spans="1:7" x14ac:dyDescent="0.25">
      <c r="A9" t="s">
        <v>81</v>
      </c>
      <c r="B9" t="s">
        <v>97</v>
      </c>
      <c r="C9" s="9">
        <f>-((25+20)/2)/185*365</f>
        <v>-44.391891891891895</v>
      </c>
      <c r="F9" t="s">
        <v>93</v>
      </c>
      <c r="G9" s="6">
        <v>180</v>
      </c>
    </row>
    <row r="10" spans="1:7" ht="15.75" thickBot="1" x14ac:dyDescent="0.3">
      <c r="A10" t="s">
        <v>83</v>
      </c>
      <c r="C10" s="8">
        <f>SUM(C8:C9)</f>
        <v>122.89977477477478</v>
      </c>
    </row>
    <row r="11" spans="1:7" ht="15.75" thickTop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E22" sqref="E22"/>
    </sheetView>
  </sheetViews>
  <sheetFormatPr defaultRowHeight="15" x14ac:dyDescent="0.25"/>
  <sheetData>
    <row r="2" spans="1:3" x14ac:dyDescent="0.25">
      <c r="A2" s="2" t="s">
        <v>109</v>
      </c>
    </row>
    <row r="4" spans="1:3" x14ac:dyDescent="0.25">
      <c r="B4" s="5" t="s">
        <v>110</v>
      </c>
      <c r="C4" s="10" t="s">
        <v>111</v>
      </c>
    </row>
    <row r="5" spans="1:3" x14ac:dyDescent="0.25">
      <c r="C5" t="s">
        <v>112</v>
      </c>
    </row>
    <row r="7" spans="1:3" x14ac:dyDescent="0.25">
      <c r="C7" s="10" t="s">
        <v>113</v>
      </c>
    </row>
    <row r="8" spans="1:3" x14ac:dyDescent="0.25">
      <c r="C8" t="s">
        <v>114</v>
      </c>
    </row>
    <row r="10" spans="1:3" x14ac:dyDescent="0.25">
      <c r="C10" s="10">
        <f>2*24*4</f>
        <v>192</v>
      </c>
    </row>
    <row r="11" spans="1:3" x14ac:dyDescent="0.25">
      <c r="C11">
        <v>0.03</v>
      </c>
    </row>
    <row r="13" spans="1:3" x14ac:dyDescent="0.25">
      <c r="C13">
        <f>192/0.03</f>
        <v>6400</v>
      </c>
    </row>
    <row r="16" spans="1:3" x14ac:dyDescent="0.25">
      <c r="C16" s="11" t="s">
        <v>115</v>
      </c>
    </row>
    <row r="18" spans="2:6" x14ac:dyDescent="0.25">
      <c r="B18" t="s">
        <v>116</v>
      </c>
      <c r="D18" s="4" t="s">
        <v>117</v>
      </c>
      <c r="E18" s="4">
        <f>80/24</f>
        <v>3.3333333333333335</v>
      </c>
      <c r="F18" s="4" t="s">
        <v>118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D23" sqref="D23"/>
    </sheetView>
  </sheetViews>
  <sheetFormatPr defaultRowHeight="15" x14ac:dyDescent="0.25"/>
  <cols>
    <col min="3" max="3" width="5" customWidth="1"/>
    <col min="4" max="4" width="36.28515625" bestFit="1" customWidth="1"/>
  </cols>
  <sheetData>
    <row r="2" spans="1:6" x14ac:dyDescent="0.25">
      <c r="A2" s="2" t="s">
        <v>119</v>
      </c>
    </row>
    <row r="4" spans="1:6" x14ac:dyDescent="0.25">
      <c r="A4" t="s">
        <v>120</v>
      </c>
      <c r="B4" s="12" t="s">
        <v>121</v>
      </c>
      <c r="C4" t="s">
        <v>122</v>
      </c>
      <c r="D4" s="10" t="s">
        <v>123</v>
      </c>
      <c r="E4" s="13" t="s">
        <v>125</v>
      </c>
    </row>
    <row r="5" spans="1:6" x14ac:dyDescent="0.25">
      <c r="D5" s="1" t="s">
        <v>124</v>
      </c>
    </row>
    <row r="7" spans="1:6" x14ac:dyDescent="0.25">
      <c r="C7" t="s">
        <v>126</v>
      </c>
      <c r="D7" s="10" t="s">
        <v>127</v>
      </c>
      <c r="E7" t="s">
        <v>128</v>
      </c>
    </row>
    <row r="8" spans="1:6" x14ac:dyDescent="0.25">
      <c r="D8" s="15">
        <v>2.5000000000000001E-4</v>
      </c>
    </row>
    <row r="10" spans="1:6" ht="17.25" x14ac:dyDescent="0.4">
      <c r="B10" s="12" t="s">
        <v>121</v>
      </c>
      <c r="D10" s="16">
        <f>((4000000*50/0.00025)*3/4)^(1/3)*3</f>
        <v>25302.979959052471</v>
      </c>
      <c r="F10" s="6" t="s">
        <v>129</v>
      </c>
    </row>
    <row r="13" spans="1:6" x14ac:dyDescent="0.25">
      <c r="A13" t="s">
        <v>130</v>
      </c>
      <c r="C13" s="12" t="s">
        <v>121</v>
      </c>
      <c r="D13" t="s">
        <v>131</v>
      </c>
    </row>
    <row r="14" spans="1:6" x14ac:dyDescent="0.25">
      <c r="D14" t="s">
        <v>132</v>
      </c>
    </row>
    <row r="15" spans="1:6" x14ac:dyDescent="0.25">
      <c r="D15" t="s">
        <v>133</v>
      </c>
      <c r="F15">
        <f>+D10/3</f>
        <v>8434.3266530174897</v>
      </c>
    </row>
    <row r="16" spans="1:6" ht="17.25" x14ac:dyDescent="0.4">
      <c r="D16" s="16">
        <v>16434.326653017488</v>
      </c>
    </row>
    <row r="18" spans="1:4" x14ac:dyDescent="0.25">
      <c r="A18" t="s">
        <v>134</v>
      </c>
      <c r="C18" s="12" t="s">
        <v>121</v>
      </c>
      <c r="D18" t="s">
        <v>135</v>
      </c>
    </row>
    <row r="19" spans="1:4" x14ac:dyDescent="0.25">
      <c r="D19" t="s">
        <v>136</v>
      </c>
    </row>
    <row r="20" spans="1:4" ht="17.25" x14ac:dyDescent="0.4">
      <c r="D20" s="17">
        <f>+D10+8000</f>
        <v>33302.979959052471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workbookViewId="0">
      <selection activeCell="F22" sqref="F22"/>
    </sheetView>
  </sheetViews>
  <sheetFormatPr defaultRowHeight="15" x14ac:dyDescent="0.25"/>
  <sheetData>
    <row r="2" spans="1:10" x14ac:dyDescent="0.25">
      <c r="A2" t="s">
        <v>137</v>
      </c>
    </row>
    <row r="3" spans="1:10" x14ac:dyDescent="0.25">
      <c r="G3">
        <v>1</v>
      </c>
      <c r="H3" s="6">
        <v>100</v>
      </c>
      <c r="I3" s="6">
        <v>0.15</v>
      </c>
      <c r="J3" s="6">
        <f>+H3*I3/12</f>
        <v>1.25</v>
      </c>
    </row>
    <row r="4" spans="1:10" x14ac:dyDescent="0.25">
      <c r="A4" s="5" t="s">
        <v>138</v>
      </c>
      <c r="B4" t="s">
        <v>139</v>
      </c>
      <c r="G4">
        <v>2</v>
      </c>
      <c r="H4" s="6">
        <f>+H3+J3</f>
        <v>101.25</v>
      </c>
      <c r="I4" s="6">
        <v>0.15</v>
      </c>
      <c r="J4" s="6">
        <f>H4*I4/12</f>
        <v>1.265625</v>
      </c>
    </row>
    <row r="5" spans="1:10" x14ac:dyDescent="0.25">
      <c r="B5" t="s">
        <v>140</v>
      </c>
      <c r="G5">
        <v>3</v>
      </c>
      <c r="H5" s="7">
        <f>+H4+J4</f>
        <v>102.515625</v>
      </c>
      <c r="I5" s="6">
        <v>0.15</v>
      </c>
      <c r="J5" s="6">
        <f t="shared" ref="J5:J14" si="0">H5*I5/12</f>
        <v>1.2814453125</v>
      </c>
    </row>
    <row r="6" spans="1:10" x14ac:dyDescent="0.25">
      <c r="B6" t="s">
        <v>141</v>
      </c>
      <c r="G6">
        <v>4</v>
      </c>
      <c r="H6" s="7">
        <f t="shared" ref="H6:H14" si="1">+H5+J5</f>
        <v>103.7970703125</v>
      </c>
      <c r="I6" s="6">
        <v>0.15</v>
      </c>
      <c r="J6" s="6">
        <f t="shared" si="0"/>
        <v>1.29746337890625</v>
      </c>
    </row>
    <row r="7" spans="1:10" x14ac:dyDescent="0.25">
      <c r="B7" s="19">
        <f>((1+(0.15/12))^12)-1</f>
        <v>0.16075451772299854</v>
      </c>
      <c r="G7">
        <v>5</v>
      </c>
      <c r="H7" s="7">
        <f t="shared" si="1"/>
        <v>105.09453369140624</v>
      </c>
      <c r="I7" s="6">
        <v>0.15</v>
      </c>
      <c r="J7" s="6">
        <f t="shared" si="0"/>
        <v>1.3136816711425781</v>
      </c>
    </row>
    <row r="8" spans="1:10" x14ac:dyDescent="0.25">
      <c r="G8">
        <v>6</v>
      </c>
      <c r="H8" s="7">
        <f t="shared" si="1"/>
        <v>106.40821536254882</v>
      </c>
      <c r="I8" s="6">
        <v>0.15</v>
      </c>
      <c r="J8" s="6">
        <f t="shared" si="0"/>
        <v>1.3301026920318602</v>
      </c>
    </row>
    <row r="9" spans="1:10" x14ac:dyDescent="0.25">
      <c r="G9">
        <v>7</v>
      </c>
      <c r="H9" s="7">
        <f t="shared" si="1"/>
        <v>107.73831805458067</v>
      </c>
      <c r="I9" s="6">
        <v>0.15</v>
      </c>
      <c r="J9" s="6">
        <f t="shared" si="0"/>
        <v>1.3467289756822582</v>
      </c>
    </row>
    <row r="10" spans="1:10" x14ac:dyDescent="0.25">
      <c r="G10">
        <v>8</v>
      </c>
      <c r="H10" s="7">
        <f t="shared" si="1"/>
        <v>109.08504703026293</v>
      </c>
      <c r="I10" s="6">
        <v>0.15</v>
      </c>
      <c r="J10" s="6">
        <f t="shared" si="0"/>
        <v>1.3635630878782867</v>
      </c>
    </row>
    <row r="11" spans="1:10" x14ac:dyDescent="0.25">
      <c r="G11">
        <v>9</v>
      </c>
      <c r="H11" s="7">
        <f t="shared" si="1"/>
        <v>110.44861011814122</v>
      </c>
      <c r="I11" s="6">
        <v>0.15</v>
      </c>
      <c r="J11" s="6">
        <f t="shared" si="0"/>
        <v>1.380607626476765</v>
      </c>
    </row>
    <row r="12" spans="1:10" x14ac:dyDescent="0.25">
      <c r="G12">
        <v>10</v>
      </c>
      <c r="H12" s="7">
        <f t="shared" si="1"/>
        <v>111.82921774461798</v>
      </c>
      <c r="I12" s="6">
        <v>0.15</v>
      </c>
      <c r="J12" s="6">
        <f t="shared" si="0"/>
        <v>1.3978652218077245</v>
      </c>
    </row>
    <row r="13" spans="1:10" x14ac:dyDescent="0.25">
      <c r="G13">
        <v>11</v>
      </c>
      <c r="H13" s="7">
        <f t="shared" si="1"/>
        <v>113.2270829664257</v>
      </c>
      <c r="I13" s="6">
        <v>0.15</v>
      </c>
      <c r="J13" s="6">
        <f t="shared" si="0"/>
        <v>1.4153385370803211</v>
      </c>
    </row>
    <row r="14" spans="1:10" x14ac:dyDescent="0.25">
      <c r="G14">
        <v>12</v>
      </c>
      <c r="H14" s="7">
        <f t="shared" si="1"/>
        <v>114.64242150350601</v>
      </c>
      <c r="I14" s="6">
        <v>0.15</v>
      </c>
      <c r="J14" s="6">
        <f t="shared" si="0"/>
        <v>1.433030268793825</v>
      </c>
    </row>
    <row r="15" spans="1:10" ht="17.25" x14ac:dyDescent="0.4">
      <c r="H15" s="17">
        <f>+H14+J14</f>
        <v>116.07545177229984</v>
      </c>
      <c r="J15" s="17">
        <f>SUM(J3:J14)</f>
        <v>16.075451772299871</v>
      </c>
    </row>
  </sheetData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G22" sqref="G22"/>
    </sheetView>
  </sheetViews>
  <sheetFormatPr defaultRowHeight="15" x14ac:dyDescent="0.25"/>
  <cols>
    <col min="2" max="2" width="13.7109375" customWidth="1"/>
  </cols>
  <sheetData>
    <row r="2" spans="1:3" x14ac:dyDescent="0.25">
      <c r="A2" s="2" t="s">
        <v>142</v>
      </c>
    </row>
    <row r="4" spans="1:3" x14ac:dyDescent="0.25">
      <c r="A4" t="s">
        <v>143</v>
      </c>
      <c r="B4" s="10" t="s">
        <v>145</v>
      </c>
    </row>
    <row r="5" spans="1:3" x14ac:dyDescent="0.25">
      <c r="B5" t="s">
        <v>144</v>
      </c>
    </row>
    <row r="7" spans="1:3" x14ac:dyDescent="0.25">
      <c r="B7" s="10">
        <f>100*0.09</f>
        <v>9</v>
      </c>
      <c r="C7" t="s">
        <v>146</v>
      </c>
    </row>
    <row r="8" spans="1:3" x14ac:dyDescent="0.25">
      <c r="B8">
        <v>134.17420000000001</v>
      </c>
    </row>
    <row r="10" spans="1:3" x14ac:dyDescent="0.25">
      <c r="B10" s="20">
        <f>+B7/B8</f>
        <v>6.7076979031736345E-2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workbookViewId="0">
      <selection activeCell="E22" sqref="E22"/>
    </sheetView>
  </sheetViews>
  <sheetFormatPr defaultRowHeight="15" x14ac:dyDescent="0.25"/>
  <cols>
    <col min="3" max="3" width="9.5703125" bestFit="1" customWidth="1"/>
    <col min="5" max="5" width="16.7109375" customWidth="1"/>
    <col min="6" max="6" width="15.42578125" customWidth="1"/>
  </cols>
  <sheetData>
    <row r="2" spans="1:8" x14ac:dyDescent="0.25">
      <c r="A2" s="2" t="s">
        <v>147</v>
      </c>
    </row>
    <row r="4" spans="1:8" x14ac:dyDescent="0.25">
      <c r="A4" s="2" t="s">
        <v>148</v>
      </c>
    </row>
    <row r="6" spans="1:8" x14ac:dyDescent="0.25">
      <c r="A6" s="21" t="s">
        <v>150</v>
      </c>
    </row>
    <row r="7" spans="1:8" x14ac:dyDescent="0.25">
      <c r="A7" s="5" t="s">
        <v>149</v>
      </c>
      <c r="B7" s="5" t="s">
        <v>152</v>
      </c>
      <c r="C7" s="5" t="s">
        <v>153</v>
      </c>
      <c r="D7" s="5" t="s">
        <v>154</v>
      </c>
      <c r="E7" s="5" t="s">
        <v>156</v>
      </c>
      <c r="F7" s="5" t="s">
        <v>154</v>
      </c>
    </row>
    <row r="8" spans="1:8" x14ac:dyDescent="0.25">
      <c r="A8" s="5">
        <v>0</v>
      </c>
      <c r="B8" s="6">
        <v>-91</v>
      </c>
      <c r="C8" s="23">
        <v>1</v>
      </c>
      <c r="D8" s="24">
        <f>+B8*C8</f>
        <v>-91</v>
      </c>
      <c r="E8" s="23">
        <v>1</v>
      </c>
      <c r="F8" s="24">
        <f>+B8*E8</f>
        <v>-91</v>
      </c>
    </row>
    <row r="9" spans="1:8" x14ac:dyDescent="0.25">
      <c r="A9" s="22" t="s">
        <v>151</v>
      </c>
      <c r="B9" s="6">
        <v>8</v>
      </c>
      <c r="C9" s="23">
        <f>(1-(1.1^-9))/0.1</f>
        <v>5.7590238162751524</v>
      </c>
      <c r="D9" s="24">
        <f>+B9*C9</f>
        <v>46.072190530201219</v>
      </c>
      <c r="E9" s="23">
        <f>(1-(1.05^-9))/0.05</f>
        <v>7.1078216756440549</v>
      </c>
      <c r="F9" s="24">
        <f>+B9*E9</f>
        <v>56.862573405152439</v>
      </c>
    </row>
    <row r="10" spans="1:8" x14ac:dyDescent="0.25">
      <c r="A10" s="5">
        <v>9</v>
      </c>
      <c r="B10" s="6">
        <v>100</v>
      </c>
      <c r="C10" s="23">
        <f>1/1.1^9</f>
        <v>0.42409761837248466</v>
      </c>
      <c r="D10" s="24">
        <f>+B10*C10</f>
        <v>42.409761837248467</v>
      </c>
      <c r="E10" s="23">
        <f>1/1.05^9</f>
        <v>0.64460891621779726</v>
      </c>
      <c r="F10" s="24">
        <f t="shared" ref="F10" si="0">+B10*E10</f>
        <v>64.460891621779723</v>
      </c>
    </row>
    <row r="11" spans="1:8" x14ac:dyDescent="0.25">
      <c r="C11" t="s">
        <v>155</v>
      </c>
      <c r="D11" s="24">
        <f>SUM(D8:D10)</f>
        <v>-2.5180476325503136</v>
      </c>
      <c r="E11" t="s">
        <v>155</v>
      </c>
      <c r="F11" s="24">
        <f>SUM(F8:F10)</f>
        <v>30.323465026932162</v>
      </c>
    </row>
    <row r="14" spans="1:8" x14ac:dyDescent="0.25">
      <c r="A14" t="s">
        <v>157</v>
      </c>
      <c r="B14" s="12" t="s">
        <v>121</v>
      </c>
      <c r="C14" t="s">
        <v>158</v>
      </c>
      <c r="D14" s="12" t="s">
        <v>159</v>
      </c>
      <c r="E14" s="25" t="s">
        <v>160</v>
      </c>
      <c r="F14" s="12" t="s">
        <v>161</v>
      </c>
      <c r="G14" t="s">
        <v>162</v>
      </c>
      <c r="H14">
        <v>100</v>
      </c>
    </row>
    <row r="15" spans="1:8" x14ac:dyDescent="0.25">
      <c r="E15" s="1" t="s">
        <v>163</v>
      </c>
    </row>
    <row r="16" spans="1:8" x14ac:dyDescent="0.25">
      <c r="C16" s="26">
        <v>0.05</v>
      </c>
      <c r="D16" s="12" t="s">
        <v>159</v>
      </c>
      <c r="E16" s="28">
        <f>+F11</f>
        <v>30.323465026932162</v>
      </c>
      <c r="F16" t="s">
        <v>165</v>
      </c>
      <c r="G16" t="s">
        <v>162</v>
      </c>
      <c r="H16">
        <v>100</v>
      </c>
    </row>
    <row r="17" spans="3:8" x14ac:dyDescent="0.25">
      <c r="E17" t="s">
        <v>164</v>
      </c>
    </row>
    <row r="19" spans="3:8" x14ac:dyDescent="0.25">
      <c r="C19">
        <v>0.05</v>
      </c>
      <c r="D19" s="12" t="s">
        <v>159</v>
      </c>
      <c r="E19">
        <v>30.323</v>
      </c>
      <c r="F19">
        <v>0.05</v>
      </c>
      <c r="G19" t="s">
        <v>162</v>
      </c>
      <c r="H19">
        <v>100</v>
      </c>
    </row>
    <row r="20" spans="3:8" x14ac:dyDescent="0.25">
      <c r="E20">
        <f>30.323+2.518</f>
        <v>32.841000000000001</v>
      </c>
    </row>
    <row r="22" spans="3:8" x14ac:dyDescent="0.25">
      <c r="C22">
        <v>0.05</v>
      </c>
      <c r="D22" s="12" t="s">
        <v>159</v>
      </c>
      <c r="E22">
        <f>+E19/E20</f>
        <v>0.92332754788222038</v>
      </c>
      <c r="F22">
        <v>0.05</v>
      </c>
      <c r="G22" t="s">
        <v>162</v>
      </c>
      <c r="H22">
        <v>100</v>
      </c>
    </row>
    <row r="24" spans="3:8" x14ac:dyDescent="0.25">
      <c r="C24">
        <v>0.05</v>
      </c>
      <c r="D24" s="12" t="s">
        <v>159</v>
      </c>
      <c r="E24" s="6">
        <f>+E22*F22</f>
        <v>4.6166377394111023E-2</v>
      </c>
      <c r="G24" t="s">
        <v>162</v>
      </c>
      <c r="H24">
        <v>100</v>
      </c>
    </row>
    <row r="26" spans="3:8" x14ac:dyDescent="0.25">
      <c r="C26">
        <f>+C24+E24</f>
        <v>9.6166377394111019E-2</v>
      </c>
    </row>
    <row r="28" spans="3:8" ht="15.75" thickBot="1" x14ac:dyDescent="0.3">
      <c r="C28" s="27">
        <f>+C24+E24</f>
        <v>9.6166377394111019E-2</v>
      </c>
    </row>
    <row r="29" spans="3:8" ht="15.75" thickTop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C22" sqref="C22"/>
    </sheetView>
  </sheetViews>
  <sheetFormatPr defaultRowHeight="15" x14ac:dyDescent="0.25"/>
  <cols>
    <col min="1" max="1" width="21.5703125" bestFit="1" customWidth="1"/>
    <col min="2" max="2" width="23.28515625" customWidth="1"/>
    <col min="3" max="3" width="13" customWidth="1"/>
    <col min="4" max="4" width="10.140625" bestFit="1" customWidth="1"/>
    <col min="5" max="5" width="11.140625" bestFit="1" customWidth="1"/>
    <col min="7" max="7" width="14.85546875" bestFit="1" customWidth="1"/>
  </cols>
  <sheetData>
    <row r="2" spans="1:7" x14ac:dyDescent="0.25">
      <c r="A2" s="2" t="s">
        <v>166</v>
      </c>
    </row>
    <row r="3" spans="1:7" x14ac:dyDescent="0.25">
      <c r="A3" s="2" t="s">
        <v>99</v>
      </c>
    </row>
    <row r="4" spans="1:7" x14ac:dyDescent="0.25">
      <c r="C4" t="s">
        <v>168</v>
      </c>
      <c r="E4" t="s">
        <v>171</v>
      </c>
    </row>
    <row r="5" spans="1:7" x14ac:dyDescent="0.25">
      <c r="A5" t="s">
        <v>167</v>
      </c>
      <c r="C5" s="6">
        <v>2400</v>
      </c>
      <c r="D5">
        <v>1.25</v>
      </c>
      <c r="E5" s="6">
        <f>+C5*D5</f>
        <v>3000</v>
      </c>
    </row>
    <row r="6" spans="1:7" x14ac:dyDescent="0.25">
      <c r="A6" t="s">
        <v>169</v>
      </c>
      <c r="B6" t="s">
        <v>170</v>
      </c>
      <c r="C6" s="6">
        <f>-C5*0.85</f>
        <v>-2040</v>
      </c>
      <c r="D6">
        <v>1.25</v>
      </c>
      <c r="E6" s="6">
        <f>+C6*D6</f>
        <v>-2550</v>
      </c>
    </row>
    <row r="7" spans="1:7" x14ac:dyDescent="0.25">
      <c r="C7" s="7">
        <f>SUM(C5:C6)</f>
        <v>360</v>
      </c>
      <c r="E7" s="7">
        <f>SUM(E5:E6)</f>
        <v>450</v>
      </c>
    </row>
    <row r="8" spans="1:7" x14ac:dyDescent="0.25">
      <c r="A8" s="2" t="s">
        <v>172</v>
      </c>
      <c r="B8" t="s">
        <v>173</v>
      </c>
      <c r="E8" s="30">
        <f>+E7-C7</f>
        <v>90</v>
      </c>
      <c r="F8" s="4" t="s">
        <v>174</v>
      </c>
      <c r="G8" t="s">
        <v>175</v>
      </c>
    </row>
    <row r="10" spans="1:7" x14ac:dyDescent="0.25">
      <c r="A10" s="2" t="s">
        <v>176</v>
      </c>
    </row>
    <row r="11" spans="1:7" x14ac:dyDescent="0.25">
      <c r="A11" t="s">
        <v>177</v>
      </c>
    </row>
    <row r="12" spans="1:7" x14ac:dyDescent="0.25">
      <c r="A12" s="31" t="s">
        <v>178</v>
      </c>
      <c r="B12" t="s">
        <v>179</v>
      </c>
      <c r="C12" s="6">
        <f>2400/12</f>
        <v>200</v>
      </c>
    </row>
    <row r="13" spans="1:7" x14ac:dyDescent="0.25">
      <c r="A13" s="32" t="s">
        <v>180</v>
      </c>
      <c r="B13" t="s">
        <v>181</v>
      </c>
      <c r="C13" s="6">
        <f>3000/12*2</f>
        <v>500</v>
      </c>
    </row>
    <row r="14" spans="1:7" x14ac:dyDescent="0.25">
      <c r="D14" s="7">
        <f>C13-C12</f>
        <v>300</v>
      </c>
    </row>
    <row r="15" spans="1:7" x14ac:dyDescent="0.25">
      <c r="A15" t="s">
        <v>182</v>
      </c>
      <c r="D15" s="6">
        <v>100</v>
      </c>
    </row>
    <row r="16" spans="1:7" x14ac:dyDescent="0.25">
      <c r="A16" t="s">
        <v>183</v>
      </c>
      <c r="D16" s="6">
        <v>-20</v>
      </c>
    </row>
    <row r="17" spans="1:7" x14ac:dyDescent="0.25">
      <c r="A17" t="s">
        <v>184</v>
      </c>
      <c r="D17" s="7">
        <f>SUM(D14:D16)</f>
        <v>380</v>
      </c>
    </row>
    <row r="18" spans="1:7" x14ac:dyDescent="0.25">
      <c r="A18" s="3" t="s">
        <v>185</v>
      </c>
      <c r="B18" s="4"/>
      <c r="C18" s="4" t="s">
        <v>186</v>
      </c>
      <c r="D18" s="4"/>
      <c r="E18" s="33">
        <f>380*0.2</f>
        <v>76</v>
      </c>
      <c r="F18" s="4" t="s">
        <v>187</v>
      </c>
    </row>
    <row r="19" spans="1:7" ht="15.75" thickBot="1" x14ac:dyDescent="0.3">
      <c r="A19" s="3" t="s">
        <v>188</v>
      </c>
      <c r="B19" s="3"/>
      <c r="C19" s="3"/>
      <c r="D19" s="3"/>
      <c r="E19" s="34">
        <f>E8-E18</f>
        <v>14</v>
      </c>
      <c r="F19" s="2" t="s">
        <v>189</v>
      </c>
    </row>
    <row r="20" spans="1:7" ht="15.75" thickTop="1" x14ac:dyDescent="0.25"/>
    <row r="21" spans="1:7" ht="15.75" thickBot="1" x14ac:dyDescent="0.3">
      <c r="A21" t="s">
        <v>190</v>
      </c>
      <c r="B21" s="35">
        <f>90/380</f>
        <v>0.23684210526315788</v>
      </c>
    </row>
    <row r="22" spans="1:7" ht="15.75" thickTop="1" x14ac:dyDescent="0.25"/>
    <row r="23" spans="1:7" x14ac:dyDescent="0.25">
      <c r="A23" t="s">
        <v>191</v>
      </c>
    </row>
    <row r="25" spans="1:7" x14ac:dyDescent="0.25">
      <c r="C25" t="s">
        <v>168</v>
      </c>
      <c r="E25" t="s">
        <v>171</v>
      </c>
    </row>
    <row r="26" spans="1:7" x14ac:dyDescent="0.25">
      <c r="A26" t="s">
        <v>167</v>
      </c>
      <c r="C26" s="6">
        <v>2400</v>
      </c>
      <c r="D26">
        <v>1.25</v>
      </c>
      <c r="E26" s="6">
        <f>+C26*D26</f>
        <v>3000</v>
      </c>
    </row>
    <row r="27" spans="1:7" x14ac:dyDescent="0.25">
      <c r="A27" t="s">
        <v>169</v>
      </c>
      <c r="B27" t="s">
        <v>170</v>
      </c>
      <c r="C27" s="6">
        <f>-C26*0.85</f>
        <v>-2040</v>
      </c>
      <c r="D27">
        <v>1.25</v>
      </c>
      <c r="E27" s="6">
        <f>+C27*D27</f>
        <v>-2550</v>
      </c>
    </row>
    <row r="28" spans="1:7" x14ac:dyDescent="0.25">
      <c r="C28" s="7">
        <f>SUM(C26:C27)</f>
        <v>360</v>
      </c>
      <c r="E28" s="7">
        <f>SUM(E26:E27)</f>
        <v>450</v>
      </c>
    </row>
    <row r="29" spans="1:7" x14ac:dyDescent="0.25">
      <c r="A29" s="2" t="s">
        <v>172</v>
      </c>
      <c r="B29" t="s">
        <v>173</v>
      </c>
      <c r="E29" s="30">
        <f>+E28-C28</f>
        <v>90</v>
      </c>
      <c r="F29" s="4" t="s">
        <v>174</v>
      </c>
      <c r="G29" t="s">
        <v>175</v>
      </c>
    </row>
    <row r="31" spans="1:7" x14ac:dyDescent="0.25">
      <c r="A31" s="21" t="s">
        <v>176</v>
      </c>
    </row>
    <row r="32" spans="1:7" x14ac:dyDescent="0.25">
      <c r="A32" t="s">
        <v>177</v>
      </c>
    </row>
    <row r="33" spans="1:6" x14ac:dyDescent="0.25">
      <c r="A33" s="31" t="s">
        <v>178</v>
      </c>
      <c r="B33" t="s">
        <v>179</v>
      </c>
      <c r="C33" s="6">
        <f>2400/12</f>
        <v>200</v>
      </c>
    </row>
    <row r="34" spans="1:6" x14ac:dyDescent="0.25">
      <c r="A34" s="32" t="s">
        <v>180</v>
      </c>
      <c r="B34" t="s">
        <v>192</v>
      </c>
      <c r="C34" s="6">
        <f>(2400/12*1)+(600/12*2)</f>
        <v>300</v>
      </c>
    </row>
    <row r="35" spans="1:6" x14ac:dyDescent="0.25">
      <c r="D35" s="7">
        <f>C34-C33</f>
        <v>100</v>
      </c>
    </row>
    <row r="36" spans="1:6" x14ac:dyDescent="0.25">
      <c r="A36" t="s">
        <v>182</v>
      </c>
      <c r="D36" s="6">
        <v>100</v>
      </c>
    </row>
    <row r="37" spans="1:6" x14ac:dyDescent="0.25">
      <c r="A37" t="s">
        <v>183</v>
      </c>
      <c r="D37" s="6">
        <v>-20</v>
      </c>
    </row>
    <row r="38" spans="1:6" x14ac:dyDescent="0.25">
      <c r="A38" t="s">
        <v>184</v>
      </c>
      <c r="D38" s="7">
        <f>SUM(D35:D37)</f>
        <v>180</v>
      </c>
    </row>
    <row r="39" spans="1:6" x14ac:dyDescent="0.25">
      <c r="A39" s="3" t="s">
        <v>185</v>
      </c>
      <c r="B39" s="4"/>
      <c r="C39" s="4" t="s">
        <v>193</v>
      </c>
      <c r="D39" s="4"/>
      <c r="E39" s="33">
        <f>180*0.2</f>
        <v>36</v>
      </c>
      <c r="F39" s="4" t="s">
        <v>187</v>
      </c>
    </row>
    <row r="40" spans="1:6" ht="15.75" thickBot="1" x14ac:dyDescent="0.3">
      <c r="A40" s="3" t="s">
        <v>188</v>
      </c>
      <c r="B40" s="3"/>
      <c r="C40" s="3"/>
      <c r="D40" s="3"/>
      <c r="E40" s="34">
        <f>E29-E39</f>
        <v>54</v>
      </c>
      <c r="F40" s="2" t="s">
        <v>189</v>
      </c>
    </row>
    <row r="41" spans="1:6" ht="15.75" thickTop="1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8" ma:contentTypeDescription="Create a new document." ma:contentTypeScope="" ma:versionID="ee78e4b72632758de8621c71d7cecb3a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e13ea50a332677d6ea91e655bc6929c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B53391-C034-4F4C-A699-A080F534C162}">
  <ds:schemaRefs>
    <ds:schemaRef ds:uri="http://schemas.microsoft.com/office/2006/metadata/properties"/>
    <ds:schemaRef ds:uri="e8164d4f-71e0-4d92-9b3f-45c87f23b09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B00040-2768-43CD-A46E-29366173E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DA544-1598-4933-8AA7-E275FA3724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Sheet1</vt:lpstr>
      <vt:lpstr>E1</vt:lpstr>
      <vt:lpstr>E2</vt:lpstr>
      <vt:lpstr>E3</vt:lpstr>
      <vt:lpstr>E4</vt:lpstr>
      <vt:lpstr>EAR</vt:lpstr>
      <vt:lpstr>E5</vt:lpstr>
      <vt:lpstr>E6</vt:lpstr>
      <vt:lpstr>E7</vt:lpstr>
      <vt:lpstr>E8</vt:lpstr>
      <vt:lpstr>E9</vt:lpstr>
      <vt:lpstr>E10</vt:lpstr>
      <vt:lpstr>E11</vt:lpstr>
      <vt:lpstr>E12</vt:lpstr>
      <vt:lpstr>E13</vt:lpstr>
      <vt:lpstr>E14</vt:lpstr>
      <vt:lpstr>Q1</vt:lpstr>
      <vt:lpstr>Q2</vt:lpstr>
      <vt:lpstr>Q3</vt:lpstr>
      <vt:lpstr>2021 Jul Q5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Sunanda Abeykoon</dc:creator>
  <cp:lastModifiedBy>vLearning1</cp:lastModifiedBy>
  <dcterms:created xsi:type="dcterms:W3CDTF">2022-07-10T03:32:03Z</dcterms:created>
  <dcterms:modified xsi:type="dcterms:W3CDTF">2022-07-18T08:00:17Z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