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ute continue\"/>
    </mc:Choice>
  </mc:AlternateContent>
  <bookViews>
    <workbookView xWindow="0" yWindow="495" windowWidth="19725" windowHeight="15285"/>
  </bookViews>
  <sheets>
    <sheet name="1. Equity Inv -FVTPL" sheetId="1" r:id="rId1"/>
    <sheet name="2. Equity Inv -FVTOCI" sheetId="5" r:id="rId2"/>
    <sheet name="3. Debt ins. FA @ amrtzed cost" sheetId="2" r:id="rId3"/>
    <sheet name="4. Debt ins. amtzd cost-T.bnd" sheetId="6" r:id="rId4"/>
    <sheet name="5. Debt ins. FVTOCI cost-T.b" sheetId="7" r:id="rId5"/>
    <sheet name="6. Debt ins. FVTP&amp;L" sheetId="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7" l="1"/>
  <c r="D48" i="7"/>
  <c r="F14" i="7"/>
  <c r="D25" i="7"/>
  <c r="D26" i="7"/>
  <c r="M26" i="7"/>
  <c r="N22" i="7"/>
  <c r="N26" i="7"/>
  <c r="O26" i="7"/>
  <c r="D27" i="7"/>
  <c r="M27" i="7"/>
  <c r="N27" i="7"/>
  <c r="O27" i="7"/>
  <c r="F15" i="7"/>
  <c r="F16" i="7"/>
  <c r="F17" i="7"/>
  <c r="D28" i="7"/>
  <c r="M28" i="7"/>
  <c r="N28" i="7"/>
  <c r="O28" i="7"/>
  <c r="O29" i="7"/>
  <c r="F25" i="7"/>
  <c r="B25" i="7"/>
  <c r="F18" i="7"/>
  <c r="C24" i="7"/>
  <c r="C25" i="7"/>
  <c r="E25" i="7"/>
  <c r="G25" i="7"/>
  <c r="H25" i="7"/>
  <c r="C41" i="7"/>
  <c r="S26" i="7"/>
  <c r="U26" i="7"/>
  <c r="S27" i="7"/>
  <c r="T22" i="7"/>
  <c r="T27" i="7"/>
  <c r="U27" i="7"/>
  <c r="S28" i="7"/>
  <c r="T28" i="7"/>
  <c r="U28" i="7"/>
  <c r="U29" i="7"/>
  <c r="F26" i="7"/>
  <c r="B26" i="7"/>
  <c r="C26" i="7"/>
  <c r="E26" i="7"/>
  <c r="G26" i="7"/>
  <c r="H26" i="7"/>
  <c r="D41" i="7"/>
  <c r="B27" i="8"/>
  <c r="F77" i="7"/>
  <c r="F78" i="7"/>
  <c r="F73" i="7"/>
  <c r="D68" i="7"/>
  <c r="D69" i="7"/>
  <c r="A68" i="7"/>
  <c r="D65" i="7"/>
  <c r="D66" i="7"/>
  <c r="D62" i="7"/>
  <c r="D63" i="7"/>
  <c r="D59" i="7"/>
  <c r="D60" i="7"/>
  <c r="Y26" i="7"/>
  <c r="AA26" i="7"/>
  <c r="AA27" i="7"/>
  <c r="Y28" i="7"/>
  <c r="Z22" i="7"/>
  <c r="Z28" i="7"/>
  <c r="AA28" i="7"/>
  <c r="AA29" i="7"/>
  <c r="F27" i="7"/>
  <c r="B27" i="7"/>
  <c r="C27" i="7"/>
  <c r="E27" i="7"/>
  <c r="G27" i="7"/>
  <c r="H27" i="7"/>
  <c r="H29" i="6"/>
  <c r="H28" i="6"/>
  <c r="H26" i="6"/>
  <c r="H25" i="6"/>
  <c r="F18" i="6"/>
  <c r="G38" i="5"/>
  <c r="F38" i="5"/>
  <c r="D38" i="5"/>
  <c r="C38" i="5"/>
  <c r="H8" i="5"/>
  <c r="H9" i="5"/>
  <c r="E37" i="5"/>
  <c r="E38" i="5"/>
  <c r="C24" i="6"/>
  <c r="C25" i="6"/>
  <c r="F14" i="6"/>
  <c r="J6" i="2"/>
  <c r="J7" i="2"/>
  <c r="J8" i="2"/>
  <c r="M46" i="2"/>
  <c r="J5" i="2"/>
  <c r="B35" i="2"/>
  <c r="J9" i="2"/>
  <c r="J10" i="2"/>
  <c r="B28" i="2"/>
  <c r="C34" i="2"/>
  <c r="B15" i="2"/>
  <c r="G12" i="2"/>
  <c r="C35" i="2"/>
  <c r="D35" i="2"/>
  <c r="E35" i="2"/>
  <c r="B36" i="2"/>
  <c r="C36" i="2"/>
  <c r="B11" i="2"/>
  <c r="B12" i="2"/>
  <c r="F15" i="2"/>
  <c r="G15" i="2"/>
  <c r="I15" i="2"/>
  <c r="B71" i="5"/>
  <c r="C71" i="5"/>
  <c r="C28" i="5"/>
  <c r="B9" i="5"/>
  <c r="B10" i="5"/>
  <c r="C18" i="5"/>
  <c r="B26" i="5"/>
  <c r="B27" i="5"/>
  <c r="B28" i="5"/>
  <c r="C25" i="5"/>
  <c r="C27" i="5"/>
  <c r="C29" i="5"/>
  <c r="C45" i="5"/>
  <c r="D70" i="5"/>
  <c r="D71" i="5"/>
  <c r="E71" i="5"/>
  <c r="D73" i="5"/>
  <c r="C73" i="5"/>
  <c r="C29" i="1"/>
  <c r="J17" i="1"/>
  <c r="J18" i="1"/>
  <c r="J19" i="1"/>
  <c r="D36" i="7"/>
  <c r="F15" i="6"/>
  <c r="F16" i="6"/>
  <c r="F17" i="6"/>
  <c r="D25" i="6"/>
  <c r="E25" i="6"/>
  <c r="C47" i="6"/>
  <c r="C36" i="6"/>
  <c r="B26" i="6"/>
  <c r="C26" i="6"/>
  <c r="D36" i="6"/>
  <c r="D26" i="6"/>
  <c r="E26" i="6"/>
  <c r="B27" i="6"/>
  <c r="C27" i="6"/>
  <c r="E36" i="6"/>
  <c r="D27" i="6"/>
  <c r="E27" i="6"/>
  <c r="B28" i="6"/>
  <c r="C28" i="6"/>
  <c r="F36" i="6"/>
  <c r="G36" i="6"/>
  <c r="F13" i="6"/>
  <c r="C62" i="5"/>
  <c r="D28" i="5"/>
  <c r="D25" i="5"/>
  <c r="D27" i="5"/>
  <c r="D29" i="5"/>
  <c r="D45" i="5"/>
  <c r="D62" i="5"/>
  <c r="C14" i="1"/>
  <c r="C13" i="1"/>
  <c r="C12" i="1"/>
  <c r="C11" i="1"/>
  <c r="D28" i="1"/>
  <c r="M38" i="8"/>
  <c r="AA27" i="8"/>
  <c r="Y26" i="8"/>
  <c r="AA26" i="8"/>
  <c r="S26" i="8"/>
  <c r="U26" i="8"/>
  <c r="B25" i="8"/>
  <c r="Z22" i="8"/>
  <c r="Z28" i="8"/>
  <c r="T22" i="8"/>
  <c r="T27" i="8"/>
  <c r="N22" i="8"/>
  <c r="N28" i="8"/>
  <c r="F14" i="8"/>
  <c r="D25" i="8"/>
  <c r="D26" i="8"/>
  <c r="E48" i="7"/>
  <c r="E54" i="7"/>
  <c r="B28" i="7"/>
  <c r="C28" i="7"/>
  <c r="E28" i="7"/>
  <c r="G28" i="7"/>
  <c r="H28" i="7"/>
  <c r="F41" i="7"/>
  <c r="N27" i="8"/>
  <c r="N26" i="8"/>
  <c r="D27" i="8"/>
  <c r="M27" i="8"/>
  <c r="M26" i="8"/>
  <c r="B48" i="8"/>
  <c r="F15" i="8"/>
  <c r="F16" i="8"/>
  <c r="F17" i="8"/>
  <c r="D28" i="8"/>
  <c r="M28" i="8"/>
  <c r="T28" i="8"/>
  <c r="F18" i="8"/>
  <c r="O26" i="8"/>
  <c r="S28" i="8"/>
  <c r="O28" i="8"/>
  <c r="D29" i="8"/>
  <c r="M37" i="8"/>
  <c r="M39" i="8"/>
  <c r="M41" i="8"/>
  <c r="F19" i="8"/>
  <c r="B16" i="8"/>
  <c r="C24" i="8"/>
  <c r="C25" i="8"/>
  <c r="S27" i="8"/>
  <c r="U27" i="8"/>
  <c r="O27" i="8"/>
  <c r="O29" i="8"/>
  <c r="F25" i="8"/>
  <c r="C48" i="8"/>
  <c r="C36" i="8"/>
  <c r="E25" i="8"/>
  <c r="B26" i="8"/>
  <c r="U28" i="8"/>
  <c r="U29" i="8"/>
  <c r="F26" i="8"/>
  <c r="Y28" i="8"/>
  <c r="AA28" i="8"/>
  <c r="AA29" i="8"/>
  <c r="F27" i="8"/>
  <c r="D48" i="8"/>
  <c r="E48" i="8"/>
  <c r="C26" i="8"/>
  <c r="E26" i="8"/>
  <c r="G25" i="8"/>
  <c r="G26" i="8"/>
  <c r="H25" i="8"/>
  <c r="C37" i="8"/>
  <c r="D36" i="8"/>
  <c r="C39" i="8"/>
  <c r="H26" i="8"/>
  <c r="D37" i="8"/>
  <c r="D39" i="8"/>
  <c r="C27" i="8"/>
  <c r="E36" i="8"/>
  <c r="E27" i="8"/>
  <c r="B28" i="8"/>
  <c r="G27" i="8"/>
  <c r="H27" i="8"/>
  <c r="E37" i="8"/>
  <c r="E39" i="8"/>
  <c r="C28" i="8"/>
  <c r="F36" i="8"/>
  <c r="C29" i="8"/>
  <c r="E28" i="8"/>
  <c r="G36" i="8"/>
  <c r="F48" i="8"/>
  <c r="G28" i="8"/>
  <c r="H28" i="8"/>
  <c r="F37" i="8"/>
  <c r="G37" i="8"/>
  <c r="F39" i="8"/>
  <c r="M37" i="7"/>
  <c r="M37" i="6"/>
  <c r="M36" i="6"/>
  <c r="D28" i="6"/>
  <c r="B25" i="6"/>
  <c r="B48" i="7"/>
  <c r="M38" i="6"/>
  <c r="M49" i="2"/>
  <c r="M47" i="2"/>
  <c r="M48" i="2"/>
  <c r="M50" i="2"/>
  <c r="M36" i="7"/>
  <c r="M38" i="7"/>
  <c r="M40" i="7"/>
  <c r="M40" i="6"/>
  <c r="B47" i="6"/>
  <c r="B57" i="2"/>
  <c r="D29" i="7"/>
  <c r="F19" i="7"/>
  <c r="B16" i="7"/>
  <c r="F19" i="6"/>
  <c r="B16" i="6"/>
  <c r="D29" i="6"/>
  <c r="F28" i="5"/>
  <c r="F56" i="5"/>
  <c r="E28" i="5"/>
  <c r="E56" i="5"/>
  <c r="E25" i="5"/>
  <c r="E27" i="5"/>
  <c r="D49" i="1"/>
  <c r="B9" i="1"/>
  <c r="B26" i="1"/>
  <c r="B27" i="1"/>
  <c r="B28" i="1"/>
  <c r="B49" i="1"/>
  <c r="B10" i="1"/>
  <c r="C19" i="1"/>
  <c r="C36" i="1"/>
  <c r="G36" i="1"/>
  <c r="B29" i="1"/>
  <c r="F28" i="1"/>
  <c r="F49" i="1"/>
  <c r="C28" i="1"/>
  <c r="D25" i="1"/>
  <c r="E28" i="1"/>
  <c r="F25" i="1"/>
  <c r="F27" i="1"/>
  <c r="E25" i="1"/>
  <c r="F29" i="1"/>
  <c r="F35" i="1"/>
  <c r="F37" i="1"/>
  <c r="F41" i="1"/>
  <c r="E49" i="1"/>
  <c r="C25" i="1"/>
  <c r="C27" i="1"/>
  <c r="C35" i="1"/>
  <c r="C49" i="1"/>
  <c r="C48" i="7"/>
  <c r="C36" i="7"/>
  <c r="D36" i="2"/>
  <c r="D37" i="2"/>
  <c r="D38" i="2"/>
  <c r="D39" i="2"/>
  <c r="C36" i="5"/>
  <c r="G36" i="5"/>
  <c r="C56" i="5"/>
  <c r="D49" i="5"/>
  <c r="E29" i="5"/>
  <c r="E45" i="5"/>
  <c r="E49" i="5"/>
  <c r="F25" i="5"/>
  <c r="F27" i="5"/>
  <c r="F29" i="5"/>
  <c r="F45" i="5"/>
  <c r="F49" i="5"/>
  <c r="D56" i="5"/>
  <c r="D27" i="1"/>
  <c r="D29" i="1"/>
  <c r="D35" i="1"/>
  <c r="D37" i="1"/>
  <c r="D41" i="1"/>
  <c r="E27" i="1"/>
  <c r="E29" i="1"/>
  <c r="E35" i="1"/>
  <c r="E37" i="1"/>
  <c r="E41" i="1"/>
  <c r="C18" i="1"/>
  <c r="C20" i="1"/>
  <c r="C46" i="2"/>
  <c r="C57" i="2"/>
  <c r="G35" i="1"/>
  <c r="G37" i="1"/>
  <c r="G41" i="1"/>
  <c r="C37" i="1"/>
  <c r="C41" i="1"/>
  <c r="D47" i="6"/>
  <c r="C54" i="7"/>
  <c r="D46" i="2"/>
  <c r="C20" i="5"/>
  <c r="E36" i="2"/>
  <c r="B37" i="2"/>
  <c r="C37" i="2"/>
  <c r="E46" i="2"/>
  <c r="B29" i="5"/>
  <c r="B56" i="5"/>
  <c r="D57" i="2"/>
  <c r="E47" i="6"/>
  <c r="E37" i="2"/>
  <c r="G45" i="5"/>
  <c r="G49" i="5"/>
  <c r="E62" i="5"/>
  <c r="F62" i="5"/>
  <c r="C49" i="5"/>
  <c r="B38" i="2"/>
  <c r="E57" i="2"/>
  <c r="E36" i="7"/>
  <c r="E41" i="7"/>
  <c r="G41" i="7"/>
  <c r="C29" i="6"/>
  <c r="E28" i="6"/>
  <c r="F47" i="6"/>
  <c r="C38" i="2"/>
  <c r="E38" i="2"/>
  <c r="F57" i="2"/>
  <c r="C39" i="2"/>
  <c r="F46" i="2"/>
  <c r="G46" i="2"/>
  <c r="F36" i="7"/>
  <c r="G36" i="7"/>
  <c r="C29" i="7"/>
  <c r="F48" i="7"/>
</calcChain>
</file>

<file path=xl/sharedStrings.xml><?xml version="1.0" encoding="utf-8"?>
<sst xmlns="http://schemas.openxmlformats.org/spreadsheetml/2006/main" count="519" uniqueCount="194">
  <si>
    <t>Ex:01 FVTPL - Equity Instruments</t>
  </si>
  <si>
    <t>Entity</t>
  </si>
  <si>
    <t>A Ltd</t>
  </si>
  <si>
    <t xml:space="preserve">Instrument </t>
  </si>
  <si>
    <t>Shares of John Keells Holdings PLC</t>
  </si>
  <si>
    <t>Purchased date</t>
  </si>
  <si>
    <t>1.1.2020</t>
  </si>
  <si>
    <t>Purchase price per share - Rs'</t>
  </si>
  <si>
    <t>Number of shares</t>
  </si>
  <si>
    <t>Total cost</t>
  </si>
  <si>
    <t>Transaction cost - 1%</t>
  </si>
  <si>
    <t>Subsequent fair value - per share</t>
  </si>
  <si>
    <t>31.3.2020</t>
  </si>
  <si>
    <t>30.6.2020</t>
  </si>
  <si>
    <t>30.9.2020</t>
  </si>
  <si>
    <t>31.12.2020</t>
  </si>
  <si>
    <t>Initial accounting for the investment</t>
  </si>
  <si>
    <t xml:space="preserve">Investment </t>
  </si>
  <si>
    <t>Dr</t>
  </si>
  <si>
    <t>P&amp;L - Transaction cost</t>
  </si>
  <si>
    <t>Cash</t>
  </si>
  <si>
    <t>Cr</t>
  </si>
  <si>
    <t>Subsequent measurement</t>
  </si>
  <si>
    <t>Description</t>
  </si>
  <si>
    <t xml:space="preserve">Opening balance </t>
  </si>
  <si>
    <t>Purchases during the period</t>
  </si>
  <si>
    <t>Total carrying amount</t>
  </si>
  <si>
    <t>Fair value at period end</t>
  </si>
  <si>
    <t>FV adjustment - gain / (loss)</t>
  </si>
  <si>
    <t>Statement of P&amp;L and OCI</t>
  </si>
  <si>
    <t xml:space="preserve">For the quarter ended </t>
  </si>
  <si>
    <t>Total</t>
  </si>
  <si>
    <t>Gross Profit</t>
  </si>
  <si>
    <t>FV change in FVTPL investments</t>
  </si>
  <si>
    <t>Transaction cost</t>
  </si>
  <si>
    <t>Profit for the period</t>
  </si>
  <si>
    <t>OCI</t>
  </si>
  <si>
    <t>Total Comprehensive Income</t>
  </si>
  <si>
    <t>Statement of Financial position</t>
  </si>
  <si>
    <t xml:space="preserve">As at </t>
  </si>
  <si>
    <t>Assets</t>
  </si>
  <si>
    <t>Current assets</t>
  </si>
  <si>
    <t>Equity investment carried at FVTPL</t>
  </si>
  <si>
    <t>Ex:02 FVTOCI - Equity Instruments</t>
  </si>
  <si>
    <t>Items that may be reclassified to P&amp;L</t>
  </si>
  <si>
    <t>Items that will never be reclassified to P&amp;L</t>
  </si>
  <si>
    <t>FV change in FVTOCI equity investments</t>
  </si>
  <si>
    <t>Equity</t>
  </si>
  <si>
    <t>Stated capital</t>
  </si>
  <si>
    <t>Retained earnings</t>
  </si>
  <si>
    <t>FV reserve</t>
  </si>
  <si>
    <t>Scenario</t>
  </si>
  <si>
    <t>Period</t>
  </si>
  <si>
    <t>Cashflow</t>
  </si>
  <si>
    <t>Loan granted</t>
  </si>
  <si>
    <t>0</t>
  </si>
  <si>
    <t>Date</t>
  </si>
  <si>
    <t>years</t>
  </si>
  <si>
    <t>Repayment</t>
  </si>
  <si>
    <t>Annually</t>
  </si>
  <si>
    <t>Interest rate</t>
  </si>
  <si>
    <t>Installment</t>
  </si>
  <si>
    <t>Cumulative DF at 10%</t>
  </si>
  <si>
    <t>Installment = Capital / Cum.DF</t>
  </si>
  <si>
    <t>Alternative - using PMT formula</t>
  </si>
  <si>
    <t>Initial amount of the loan</t>
  </si>
  <si>
    <t>Step 1 - Calculate Effective rate</t>
  </si>
  <si>
    <t xml:space="preserve">* the interest rate that makes the present value of future cashflows </t>
  </si>
  <si>
    <t>equals to the initial amount</t>
  </si>
  <si>
    <t>Effective rate (IRR) *</t>
  </si>
  <si>
    <t>Step 2 - Subsequent measurement of the loan</t>
  </si>
  <si>
    <t>Year</t>
  </si>
  <si>
    <t>Opening balance</t>
  </si>
  <si>
    <t>Interest @</t>
  </si>
  <si>
    <t>Cash received</t>
  </si>
  <si>
    <t>Closing balance</t>
  </si>
  <si>
    <t>Step 3 - Extracts of financial statements</t>
  </si>
  <si>
    <t>Statement of P&amp;L</t>
  </si>
  <si>
    <t>Year 1</t>
  </si>
  <si>
    <t>Year 2</t>
  </si>
  <si>
    <t>Year 3</t>
  </si>
  <si>
    <t>Year 4</t>
  </si>
  <si>
    <t>Interest income</t>
  </si>
  <si>
    <t>Total instalments</t>
  </si>
  <si>
    <t>315.47 x 4</t>
  </si>
  <si>
    <t>Profit for the year</t>
  </si>
  <si>
    <t>Gross income</t>
  </si>
  <si>
    <t>Other comprehensive income</t>
  </si>
  <si>
    <t>Net interest income in P&amp;L</t>
  </si>
  <si>
    <t>Total comprehensive income</t>
  </si>
  <si>
    <t>Statement of Financial Position</t>
  </si>
  <si>
    <t>Year 0</t>
  </si>
  <si>
    <t>Loan receivable</t>
  </si>
  <si>
    <t>Ex: 04 FA at Amortized cost - Debt instrument - T.Bond</t>
  </si>
  <si>
    <t>Investment date</t>
  </si>
  <si>
    <t>Investment amount</t>
  </si>
  <si>
    <t>Face value</t>
  </si>
  <si>
    <t>Coupon interest - paid bi annually</t>
  </si>
  <si>
    <t>p.a.</t>
  </si>
  <si>
    <t>Maturity date</t>
  </si>
  <si>
    <t>1.1.2022</t>
  </si>
  <si>
    <t>30.6.2021</t>
  </si>
  <si>
    <t>IRR per 6 months</t>
  </si>
  <si>
    <t>IRR per annum</t>
  </si>
  <si>
    <t>Step 2 - Subsequent measurement of the T.bond</t>
  </si>
  <si>
    <t>6 months ending</t>
  </si>
  <si>
    <t>31.12.2021</t>
  </si>
  <si>
    <t>Statement of P&amp;L - 6 months ended</t>
  </si>
  <si>
    <t>Total cashflows</t>
  </si>
  <si>
    <t>50 x 4 + 1,000</t>
  </si>
  <si>
    <t>Ex: 05 FA at FVTOCI - Debt instrument - T.Bond</t>
  </si>
  <si>
    <t>Valuation on 30.6.2020</t>
  </si>
  <si>
    <t>FV at period end</t>
  </si>
  <si>
    <t>Discount factor @ 15%</t>
  </si>
  <si>
    <t>PV</t>
  </si>
  <si>
    <t>Valuation on 31.12.2020</t>
  </si>
  <si>
    <t>Cumulative FV adjustment</t>
  </si>
  <si>
    <t>Change in FV adjustment</t>
  </si>
  <si>
    <t>Valuation on 30.6.2021</t>
  </si>
  <si>
    <t>FV change in Debt instruments</t>
  </si>
  <si>
    <t>Share capital</t>
  </si>
  <si>
    <t>Investment in T.Bond</t>
  </si>
  <si>
    <t>Bid Price</t>
  </si>
  <si>
    <t>Ask price</t>
  </si>
  <si>
    <t>*Use the Bid price always</t>
  </si>
  <si>
    <t>*Do not deduct transaction cost</t>
  </si>
  <si>
    <t>FV + Txn cost</t>
  </si>
  <si>
    <t>Ex:03 FA at amortized cost - Debt instrument - Loan</t>
  </si>
  <si>
    <t>Contractual rate</t>
  </si>
  <si>
    <t>at amortized cost = Opening balance + Interest at effective rate - Repayments - Impairments</t>
  </si>
  <si>
    <t>Amortized cost</t>
  </si>
  <si>
    <t>Market interest rate</t>
  </si>
  <si>
    <t>Bid rate</t>
  </si>
  <si>
    <t>Market rates</t>
  </si>
  <si>
    <t>Ask rate</t>
  </si>
  <si>
    <t>Use the bid rate</t>
  </si>
  <si>
    <t>Ex: 06 FA at FVTP&amp;L - Debt instrument - T.Bond</t>
  </si>
  <si>
    <t>Bid price</t>
  </si>
  <si>
    <t>Txn cost on sale</t>
  </si>
  <si>
    <t>Net SP</t>
  </si>
  <si>
    <t>Do not use this</t>
  </si>
  <si>
    <t>FV gain on Debt instruments</t>
  </si>
  <si>
    <t xml:space="preserve"> </t>
  </si>
  <si>
    <t>Foreign currency translation gain</t>
  </si>
  <si>
    <t>Xxx</t>
  </si>
  <si>
    <t>Xx</t>
  </si>
  <si>
    <t>Revaluation gains on PPE</t>
  </si>
  <si>
    <t>Remeasurement component on Defined Benefit Obligations</t>
  </si>
  <si>
    <t>SCE</t>
  </si>
  <si>
    <t>SC</t>
  </si>
  <si>
    <t>RE</t>
  </si>
  <si>
    <t>Bal 1.1.2020</t>
  </si>
  <si>
    <t>PFTY</t>
  </si>
  <si>
    <t>FV gain</t>
  </si>
  <si>
    <t>XXX</t>
  </si>
  <si>
    <t>Bal 31.12.2020</t>
  </si>
  <si>
    <t>Trf on disposal</t>
  </si>
  <si>
    <t>Total equity</t>
  </si>
  <si>
    <t>Equity investment carried at FVTOCI</t>
  </si>
  <si>
    <t>Equal cf</t>
  </si>
  <si>
    <t>x Cum df</t>
  </si>
  <si>
    <t>‘=</t>
  </si>
  <si>
    <t>Pay upfront</t>
  </si>
  <si>
    <t>Is this reimbursement of expense incurred ?</t>
  </si>
  <si>
    <t>Real fee income?</t>
  </si>
  <si>
    <t>Then recognize in P&amp;L immediately</t>
  </si>
  <si>
    <t>Face value is the value that will be paid at maturity + That’s the value on which coupon interest is calculated</t>
  </si>
  <si>
    <t>Coupon Interest</t>
  </si>
  <si>
    <t>Coupon interest + Face value</t>
  </si>
  <si>
    <t>ER = IRR = Yield</t>
  </si>
  <si>
    <t>On 15.9.2020 JKH pays a dividend of Rs.1 per share</t>
  </si>
  <si>
    <t>A Ltd receives Rs.</t>
  </si>
  <si>
    <t>Dividend tax</t>
  </si>
  <si>
    <t xml:space="preserve">Net dividend </t>
  </si>
  <si>
    <t>Dividend</t>
  </si>
  <si>
    <t>‘Jan 2020</t>
  </si>
  <si>
    <t>‘Feb 2020</t>
  </si>
  <si>
    <t>‘Jul 2020</t>
  </si>
  <si>
    <t>‘Aug 2020</t>
  </si>
  <si>
    <t xml:space="preserve">Cash </t>
  </si>
  <si>
    <t>Inv</t>
  </si>
  <si>
    <t>Upto 30.6.2020</t>
  </si>
  <si>
    <t>P&amp;L</t>
  </si>
  <si>
    <t>On 30.6.2020</t>
  </si>
  <si>
    <t>Reflected in OCI</t>
  </si>
  <si>
    <t xml:space="preserve">Clean price </t>
  </si>
  <si>
    <t>Dirty price</t>
  </si>
  <si>
    <t>T.Bond prices</t>
  </si>
  <si>
    <t>PV of future CF discounted at market rates</t>
  </si>
  <si>
    <t>When the FV is measured on period different than a coupon payment date</t>
  </si>
  <si>
    <t xml:space="preserve">Example if FV is calculated on 30.9.2020 as </t>
  </si>
  <si>
    <t xml:space="preserve">Accrued coupon </t>
  </si>
  <si>
    <t>‘50 x 3mnth/6mnths</t>
  </si>
  <si>
    <t>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</si>
</sst>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Accounting"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165" fontId="2" fillId="0" borderId="0" xfId="1" applyNumberFormat="1" applyFont="1"/>
    <xf numFmtId="165" fontId="3" fillId="0" borderId="0" xfId="1" applyNumberFormat="1" applyFont="1"/>
    <xf numFmtId="165" fontId="4" fillId="0" borderId="0" xfId="1" applyNumberFormat="1" applyFont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5" fillId="0" borderId="0" xfId="1" applyNumberFormat="1" applyFont="1"/>
    <xf numFmtId="165" fontId="2" fillId="0" borderId="3" xfId="1" applyNumberFormat="1" applyFont="1" applyBorder="1"/>
    <xf numFmtId="165" fontId="3" fillId="0" borderId="4" xfId="1" applyNumberFormat="1" applyFont="1" applyBorder="1"/>
    <xf numFmtId="165" fontId="2" fillId="0" borderId="4" xfId="1" applyNumberFormat="1" applyFont="1" applyBorder="1"/>
    <xf numFmtId="165" fontId="2" fillId="0" borderId="5" xfId="1" applyNumberFormat="1" applyFont="1" applyBorder="1"/>
    <xf numFmtId="165" fontId="2" fillId="0" borderId="6" xfId="1" applyNumberFormat="1" applyFont="1" applyBorder="1"/>
    <xf numFmtId="43" fontId="2" fillId="0" borderId="0" xfId="1" applyNumberFormat="1" applyFont="1"/>
    <xf numFmtId="10" fontId="2" fillId="2" borderId="0" xfId="1" applyNumberFormat="1" applyFont="1" applyFill="1"/>
    <xf numFmtId="165" fontId="2" fillId="0" borderId="4" xfId="1" quotePrefix="1" applyNumberFormat="1" applyFont="1" applyBorder="1"/>
    <xf numFmtId="10" fontId="2" fillId="2" borderId="4" xfId="1" applyNumberFormat="1" applyFont="1" applyFill="1" applyBorder="1"/>
    <xf numFmtId="9" fontId="2" fillId="0" borderId="4" xfId="1" applyNumberFormat="1" applyFont="1" applyBorder="1"/>
    <xf numFmtId="166" fontId="2" fillId="0" borderId="4" xfId="1" applyNumberFormat="1" applyFont="1" applyBorder="1"/>
    <xf numFmtId="164" fontId="2" fillId="0" borderId="4" xfId="1" applyNumberFormat="1" applyFont="1" applyBorder="1"/>
    <xf numFmtId="165" fontId="2" fillId="0" borderId="0" xfId="1" applyNumberFormat="1" applyFont="1" applyBorder="1"/>
    <xf numFmtId="165" fontId="3" fillId="0" borderId="0" xfId="1" applyNumberFormat="1" applyFont="1" applyBorder="1"/>
    <xf numFmtId="43" fontId="3" fillId="0" borderId="4" xfId="1" applyFont="1" applyBorder="1" applyAlignment="1">
      <alignment wrapText="1"/>
    </xf>
    <xf numFmtId="43" fontId="2" fillId="0" borderId="0" xfId="1" applyFont="1"/>
    <xf numFmtId="10" fontId="3" fillId="0" borderId="4" xfId="2" applyNumberFormat="1" applyFont="1" applyBorder="1"/>
    <xf numFmtId="43" fontId="3" fillId="0" borderId="0" xfId="1" applyFont="1"/>
    <xf numFmtId="43" fontId="2" fillId="0" borderId="4" xfId="1" applyFont="1" applyBorder="1"/>
    <xf numFmtId="43" fontId="3" fillId="0" borderId="4" xfId="1" applyFont="1" applyBorder="1"/>
    <xf numFmtId="165" fontId="4" fillId="0" borderId="4" xfId="1" applyNumberFormat="1" applyFont="1" applyBorder="1"/>
    <xf numFmtId="43" fontId="2" fillId="0" borderId="4" xfId="1" applyFont="1" applyFill="1" applyBorder="1"/>
    <xf numFmtId="43" fontId="2" fillId="0" borderId="4" xfId="1" applyNumberFormat="1" applyFont="1" applyBorder="1"/>
    <xf numFmtId="43" fontId="2" fillId="0" borderId="1" xfId="1" applyNumberFormat="1" applyFont="1" applyBorder="1"/>
    <xf numFmtId="43" fontId="2" fillId="3" borderId="4" xfId="1" applyFont="1" applyFill="1" applyBorder="1"/>
    <xf numFmtId="43" fontId="2" fillId="3" borderId="2" xfId="1" applyNumberFormat="1" applyFont="1" applyFill="1" applyBorder="1"/>
    <xf numFmtId="10" fontId="3" fillId="0" borderId="4" xfId="1" applyNumberFormat="1" applyFont="1" applyFill="1" applyBorder="1"/>
    <xf numFmtId="10" fontId="3" fillId="0" borderId="0" xfId="1" applyNumberFormat="1" applyFont="1" applyFill="1" applyBorder="1"/>
    <xf numFmtId="165" fontId="3" fillId="0" borderId="4" xfId="1" applyNumberFormat="1" applyFont="1" applyBorder="1" applyAlignment="1">
      <alignment wrapText="1"/>
    </xf>
    <xf numFmtId="10" fontId="2" fillId="0" borderId="0" xfId="1" applyNumberFormat="1" applyFont="1"/>
    <xf numFmtId="43" fontId="3" fillId="3" borderId="0" xfId="1" applyFont="1" applyFill="1"/>
    <xf numFmtId="43" fontId="2" fillId="3" borderId="4" xfId="1" applyNumberFormat="1" applyFont="1" applyFill="1" applyBorder="1"/>
    <xf numFmtId="43" fontId="2" fillId="4" borderId="4" xfId="1" applyNumberFormat="1" applyFont="1" applyFill="1" applyBorder="1"/>
    <xf numFmtId="43" fontId="3" fillId="4" borderId="0" xfId="1" applyFont="1" applyFill="1"/>
    <xf numFmtId="43" fontId="2" fillId="5" borderId="4" xfId="1" applyNumberFormat="1" applyFont="1" applyFill="1" applyBorder="1"/>
    <xf numFmtId="43" fontId="3" fillId="5" borderId="0" xfId="1" applyFont="1" applyFill="1"/>
    <xf numFmtId="165" fontId="2" fillId="4" borderId="0" xfId="1" applyNumberFormat="1" applyFont="1" applyFill="1"/>
    <xf numFmtId="43" fontId="3" fillId="0" borderId="4" xfId="1" applyNumberFormat="1" applyFont="1" applyBorder="1"/>
    <xf numFmtId="165" fontId="2" fillId="0" borderId="0" xfId="1" applyNumberFormat="1" applyFont="1" applyAlignment="1">
      <alignment wrapText="1"/>
    </xf>
    <xf numFmtId="165" fontId="2" fillId="6" borderId="0" xfId="1" applyNumberFormat="1" applyFont="1" applyFill="1"/>
    <xf numFmtId="165" fontId="2" fillId="6" borderId="1" xfId="1" applyNumberFormat="1" applyFont="1" applyFill="1" applyBorder="1"/>
    <xf numFmtId="165" fontId="2" fillId="7" borderId="4" xfId="1" applyNumberFormat="1" applyFont="1" applyFill="1" applyBorder="1"/>
    <xf numFmtId="165" fontId="2" fillId="7" borderId="0" xfId="1" applyNumberFormat="1" applyFont="1" applyFill="1"/>
    <xf numFmtId="43" fontId="2" fillId="7" borderId="4" xfId="1" applyNumberFormat="1" applyFont="1" applyFill="1" applyBorder="1"/>
    <xf numFmtId="165" fontId="2" fillId="0" borderId="4" xfId="1" applyNumberFormat="1" applyFont="1" applyFill="1" applyBorder="1"/>
    <xf numFmtId="43" fontId="3" fillId="0" borderId="4" xfId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238124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16</xdr:col>
      <xdr:colOff>504824</xdr:colOff>
      <xdr:row>46</xdr:row>
      <xdr:rowOff>38100</xdr:rowOff>
    </xdr:to>
    <xdr:sp macro="" textlink="">
      <xdr:nvSpPr>
        <xdr:cNvPr id="2" name="Rectangle 1"/>
        <xdr:cNvSpPr>
          <a:spLocks/>
        </xdr:cNvSpPr>
      </xdr:nvSpPr>
      <xdr:spPr>
        <a:xfrm>
          <a:off x="0" y="5172075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47624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17</xdr:col>
      <xdr:colOff>456141</xdr:colOff>
      <xdr:row>24</xdr:row>
      <xdr:rowOff>124883</xdr:rowOff>
    </xdr:to>
    <xdr:sp macro="" textlink="">
      <xdr:nvSpPr>
        <xdr:cNvPr id="2" name="Rectangle 1"/>
        <xdr:cNvSpPr>
          <a:spLocks/>
        </xdr:cNvSpPr>
      </xdr:nvSpPr>
      <xdr:spPr>
        <a:xfrm>
          <a:off x="0" y="114300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15</xdr:col>
      <xdr:colOff>583141</xdr:colOff>
      <xdr:row>39</xdr:row>
      <xdr:rowOff>124883</xdr:rowOff>
    </xdr:to>
    <xdr:sp macro="" textlink="">
      <xdr:nvSpPr>
        <xdr:cNvPr id="2" name="Rectangle 1"/>
        <xdr:cNvSpPr>
          <a:spLocks/>
        </xdr:cNvSpPr>
      </xdr:nvSpPr>
      <xdr:spPr>
        <a:xfrm>
          <a:off x="0" y="438150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123824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tabSelected="1" workbookViewId="0">
      <selection activeCell="P21" sqref="P21"/>
    </sheetView>
  </sheetViews>
  <sheetFormatPr defaultColWidth="9.28515625" defaultRowHeight="15" x14ac:dyDescent="0.25"/>
  <cols>
    <col min="1" max="1" width="31.42578125" style="1" customWidth="1"/>
    <col min="2" max="2" width="11.140625" style="1" customWidth="1"/>
    <col min="3" max="4" width="9.85546875" style="1" customWidth="1"/>
    <col min="5" max="5" width="10.28515625" style="1" customWidth="1"/>
    <col min="6" max="6" width="11" style="1" customWidth="1"/>
    <col min="7" max="8" width="9.28515625" style="1"/>
    <col min="9" max="9" width="16.28515625" style="1" customWidth="1"/>
    <col min="10" max="16384" width="9.28515625" style="1"/>
  </cols>
  <sheetData>
    <row r="2" spans="1:9" x14ac:dyDescent="0.25">
      <c r="A2" s="2" t="s">
        <v>0</v>
      </c>
    </row>
    <row r="4" spans="1:9" x14ac:dyDescent="0.25">
      <c r="A4" s="9" t="s">
        <v>1</v>
      </c>
      <c r="B4" s="9" t="s">
        <v>2</v>
      </c>
    </row>
    <row r="5" spans="1:9" x14ac:dyDescent="0.25">
      <c r="A5" s="9" t="s">
        <v>3</v>
      </c>
      <c r="B5" s="9" t="s">
        <v>4</v>
      </c>
    </row>
    <row r="6" spans="1:9" x14ac:dyDescent="0.25">
      <c r="A6" s="9" t="s">
        <v>5</v>
      </c>
      <c r="B6" s="9" t="s">
        <v>6</v>
      </c>
    </row>
    <row r="7" spans="1:9" x14ac:dyDescent="0.25">
      <c r="A7" s="9" t="s">
        <v>7</v>
      </c>
      <c r="B7" s="9">
        <v>150</v>
      </c>
    </row>
    <row r="8" spans="1:9" x14ac:dyDescent="0.25">
      <c r="A8" s="9" t="s">
        <v>8</v>
      </c>
      <c r="B8" s="9">
        <v>1000</v>
      </c>
    </row>
    <row r="9" spans="1:9" x14ac:dyDescent="0.25">
      <c r="A9" s="9" t="s">
        <v>9</v>
      </c>
      <c r="B9" s="9">
        <f>B7*B8</f>
        <v>150000</v>
      </c>
    </row>
    <row r="10" spans="1:9" x14ac:dyDescent="0.25">
      <c r="A10" s="9" t="s">
        <v>10</v>
      </c>
      <c r="B10" s="11">
        <f>B9*1%</f>
        <v>1500</v>
      </c>
    </row>
    <row r="11" spans="1:9" x14ac:dyDescent="0.25">
      <c r="A11" s="10" t="s">
        <v>11</v>
      </c>
      <c r="B11" s="9" t="s">
        <v>12</v>
      </c>
      <c r="C11" s="9">
        <f>F11</f>
        <v>160</v>
      </c>
      <c r="E11" s="1" t="s">
        <v>122</v>
      </c>
      <c r="F11" s="43">
        <v>160</v>
      </c>
      <c r="H11" s="1" t="s">
        <v>123</v>
      </c>
      <c r="I11" s="1">
        <v>162</v>
      </c>
    </row>
    <row r="12" spans="1:9" x14ac:dyDescent="0.25">
      <c r="B12" s="9" t="s">
        <v>13</v>
      </c>
      <c r="C12" s="9">
        <f t="shared" ref="C12:C14" si="0">F12</f>
        <v>154</v>
      </c>
      <c r="E12" s="1" t="s">
        <v>122</v>
      </c>
      <c r="F12" s="43">
        <v>154</v>
      </c>
      <c r="H12" s="1" t="s">
        <v>123</v>
      </c>
      <c r="I12" s="1">
        <v>155</v>
      </c>
    </row>
    <row r="13" spans="1:9" x14ac:dyDescent="0.25">
      <c r="B13" s="9" t="s">
        <v>14</v>
      </c>
      <c r="C13" s="9">
        <f t="shared" si="0"/>
        <v>143</v>
      </c>
      <c r="E13" s="1" t="s">
        <v>122</v>
      </c>
      <c r="F13" s="43">
        <v>143</v>
      </c>
      <c r="H13" s="1" t="s">
        <v>123</v>
      </c>
      <c r="I13" s="1">
        <v>147</v>
      </c>
    </row>
    <row r="14" spans="1:9" x14ac:dyDescent="0.25">
      <c r="B14" s="9" t="s">
        <v>15</v>
      </c>
      <c r="C14" s="9">
        <f t="shared" si="0"/>
        <v>170</v>
      </c>
      <c r="E14" s="1" t="s">
        <v>122</v>
      </c>
      <c r="F14" s="43">
        <v>170</v>
      </c>
      <c r="H14" s="1" t="s">
        <v>123</v>
      </c>
      <c r="I14" s="1">
        <v>175</v>
      </c>
    </row>
    <row r="16" spans="1:9" ht="16.5" x14ac:dyDescent="0.35">
      <c r="A16" s="3" t="s">
        <v>16</v>
      </c>
      <c r="F16" s="1" t="s">
        <v>124</v>
      </c>
    </row>
    <row r="17" spans="1:11" x14ac:dyDescent="0.25">
      <c r="F17" s="1" t="s">
        <v>125</v>
      </c>
      <c r="I17" s="1" t="s">
        <v>137</v>
      </c>
      <c r="J17" s="1">
        <f>160</f>
        <v>160</v>
      </c>
    </row>
    <row r="18" spans="1:11" x14ac:dyDescent="0.25">
      <c r="A18" s="1" t="s">
        <v>17</v>
      </c>
      <c r="B18" s="1" t="s">
        <v>18</v>
      </c>
      <c r="C18" s="1">
        <f>B9</f>
        <v>150000</v>
      </c>
      <c r="I18" s="1" t="s">
        <v>138</v>
      </c>
      <c r="J18" s="12">
        <f>-1%*J17</f>
        <v>-1.6</v>
      </c>
    </row>
    <row r="19" spans="1:11" x14ac:dyDescent="0.25">
      <c r="A19" s="1" t="s">
        <v>19</v>
      </c>
      <c r="B19" s="1" t="s">
        <v>18</v>
      </c>
      <c r="C19" s="1">
        <f>B10</f>
        <v>1500</v>
      </c>
      <c r="I19" s="1" t="s">
        <v>139</v>
      </c>
      <c r="J19" s="12">
        <f>J17+J18</f>
        <v>158.4</v>
      </c>
      <c r="K19" s="1" t="s">
        <v>140</v>
      </c>
    </row>
    <row r="20" spans="1:11" x14ac:dyDescent="0.25">
      <c r="A20" s="1" t="s">
        <v>20</v>
      </c>
      <c r="B20" s="1" t="s">
        <v>21</v>
      </c>
      <c r="C20" s="1">
        <f>SUM(C18:C19)</f>
        <v>151500</v>
      </c>
    </row>
    <row r="22" spans="1:11" ht="16.5" x14ac:dyDescent="0.35">
      <c r="A22" s="3" t="s">
        <v>22</v>
      </c>
    </row>
    <row r="24" spans="1:11" x14ac:dyDescent="0.25">
      <c r="A24" s="2" t="s">
        <v>23</v>
      </c>
      <c r="B24" s="2" t="s">
        <v>6</v>
      </c>
      <c r="C24" s="2" t="s">
        <v>12</v>
      </c>
      <c r="D24" s="2" t="s">
        <v>13</v>
      </c>
      <c r="E24" s="2" t="s">
        <v>14</v>
      </c>
      <c r="F24" s="2" t="s">
        <v>15</v>
      </c>
    </row>
    <row r="25" spans="1:11" x14ac:dyDescent="0.25">
      <c r="A25" s="1" t="s">
        <v>24</v>
      </c>
      <c r="B25" s="1">
        <v>0</v>
      </c>
      <c r="C25" s="1">
        <f>B28</f>
        <v>150000</v>
      </c>
      <c r="D25" s="1">
        <f t="shared" ref="D25:F25" si="1">C28</f>
        <v>160000</v>
      </c>
      <c r="E25" s="1">
        <f t="shared" si="1"/>
        <v>154000</v>
      </c>
      <c r="F25" s="1">
        <f t="shared" si="1"/>
        <v>143000</v>
      </c>
    </row>
    <row r="26" spans="1:11" x14ac:dyDescent="0.25">
      <c r="A26" s="1" t="s">
        <v>25</v>
      </c>
      <c r="B26" s="4">
        <f>B9</f>
        <v>150000</v>
      </c>
      <c r="C26" s="4">
        <v>0</v>
      </c>
      <c r="D26" s="4">
        <v>0</v>
      </c>
      <c r="E26" s="4">
        <v>0</v>
      </c>
      <c r="F26" s="4">
        <v>0</v>
      </c>
    </row>
    <row r="27" spans="1:11" s="2" customFormat="1" ht="14.25" x14ac:dyDescent="0.2">
      <c r="A27" s="2" t="s">
        <v>26</v>
      </c>
      <c r="B27" s="2">
        <f>SUM(B25:B26)</f>
        <v>150000</v>
      </c>
      <c r="C27" s="2">
        <f t="shared" ref="C27:F27" si="2">SUM(C25:C26)</f>
        <v>150000</v>
      </c>
      <c r="D27" s="2">
        <f t="shared" si="2"/>
        <v>160000</v>
      </c>
      <c r="E27" s="2">
        <f t="shared" si="2"/>
        <v>154000</v>
      </c>
      <c r="F27" s="2">
        <f t="shared" si="2"/>
        <v>143000</v>
      </c>
    </row>
    <row r="28" spans="1:11" x14ac:dyDescent="0.25">
      <c r="A28" s="1" t="s">
        <v>27</v>
      </c>
      <c r="B28" s="1">
        <f>B27</f>
        <v>150000</v>
      </c>
      <c r="C28" s="1">
        <f>C11*B8</f>
        <v>160000</v>
      </c>
      <c r="D28" s="1">
        <f>B8*C12</f>
        <v>154000</v>
      </c>
      <c r="E28" s="1">
        <f>C13*B8</f>
        <v>143000</v>
      </c>
      <c r="F28" s="1">
        <f>C14*B8</f>
        <v>170000</v>
      </c>
    </row>
    <row r="29" spans="1:11" ht="15.75" thickBot="1" x14ac:dyDescent="0.3">
      <c r="A29" s="1" t="s">
        <v>28</v>
      </c>
      <c r="B29" s="5">
        <f>B28-B27</f>
        <v>0</v>
      </c>
      <c r="C29" s="5">
        <f>C28-C27</f>
        <v>10000</v>
      </c>
      <c r="D29" s="5">
        <f>D28-D27</f>
        <v>-6000</v>
      </c>
      <c r="E29" s="5">
        <f>E28-E27</f>
        <v>-11000</v>
      </c>
      <c r="F29" s="5">
        <f>F28-F27</f>
        <v>27000</v>
      </c>
    </row>
    <row r="30" spans="1:11" ht="15.75" thickTop="1" x14ac:dyDescent="0.25"/>
    <row r="32" spans="1:11" x14ac:dyDescent="0.25">
      <c r="A32" s="2" t="s">
        <v>29</v>
      </c>
    </row>
    <row r="33" spans="1:7" x14ac:dyDescent="0.25">
      <c r="A33" s="2" t="s">
        <v>30</v>
      </c>
      <c r="C33" s="2" t="s">
        <v>12</v>
      </c>
      <c r="D33" s="2" t="s">
        <v>13</v>
      </c>
      <c r="E33" s="2" t="s">
        <v>14</v>
      </c>
      <c r="F33" s="2" t="s">
        <v>15</v>
      </c>
      <c r="G33" s="1" t="s">
        <v>31</v>
      </c>
    </row>
    <row r="34" spans="1:7" x14ac:dyDescent="0.25">
      <c r="A34" s="1" t="s">
        <v>32</v>
      </c>
    </row>
    <row r="35" spans="1:7" x14ac:dyDescent="0.25">
      <c r="A35" s="1" t="s">
        <v>33</v>
      </c>
      <c r="C35" s="1">
        <f>C29</f>
        <v>10000</v>
      </c>
      <c r="D35" s="1">
        <f>D29</f>
        <v>-6000</v>
      </c>
      <c r="E35" s="1">
        <f>E29</f>
        <v>-11000</v>
      </c>
      <c r="F35" s="1">
        <f>F29</f>
        <v>27000</v>
      </c>
      <c r="G35" s="1">
        <f>SUM(C35:F35)</f>
        <v>20000</v>
      </c>
    </row>
    <row r="36" spans="1:7" x14ac:dyDescent="0.25">
      <c r="A36" s="1" t="s">
        <v>34</v>
      </c>
      <c r="C36" s="1">
        <f>-C19</f>
        <v>-1500</v>
      </c>
      <c r="D36" s="1">
        <v>0</v>
      </c>
      <c r="E36" s="1">
        <v>0</v>
      </c>
      <c r="F36" s="1">
        <v>0</v>
      </c>
      <c r="G36" s="1">
        <f>SUM(C36:F36)</f>
        <v>-1500</v>
      </c>
    </row>
    <row r="37" spans="1:7" x14ac:dyDescent="0.25">
      <c r="A37" s="1" t="s">
        <v>35</v>
      </c>
      <c r="C37" s="7">
        <f>SUM(C35:C36)</f>
        <v>8500</v>
      </c>
      <c r="D37" s="7">
        <f>SUM(D35:D36)</f>
        <v>-6000</v>
      </c>
      <c r="E37" s="7">
        <f>SUM(E35:E36)</f>
        <v>-11000</v>
      </c>
      <c r="F37" s="7">
        <f>SUM(F35:F36)</f>
        <v>27000</v>
      </c>
      <c r="G37" s="7">
        <f>SUM(G35:G36)</f>
        <v>18500</v>
      </c>
    </row>
    <row r="38" spans="1:7" ht="17.25" x14ac:dyDescent="0.4">
      <c r="A38" s="6" t="s">
        <v>36</v>
      </c>
    </row>
    <row r="41" spans="1:7" ht="15.75" thickBot="1" x14ac:dyDescent="0.3">
      <c r="A41" s="1" t="s">
        <v>37</v>
      </c>
      <c r="C41" s="5">
        <f>SUM(C37:C40)</f>
        <v>8500</v>
      </c>
      <c r="D41" s="5">
        <f t="shared" ref="D41:G41" si="3">SUM(D37:D40)</f>
        <v>-6000</v>
      </c>
      <c r="E41" s="5">
        <f t="shared" si="3"/>
        <v>-11000</v>
      </c>
      <c r="F41" s="5">
        <f t="shared" si="3"/>
        <v>27000</v>
      </c>
      <c r="G41" s="5">
        <f t="shared" si="3"/>
        <v>18500</v>
      </c>
    </row>
    <row r="42" spans="1:7" ht="15.75" thickTop="1" x14ac:dyDescent="0.25"/>
    <row r="44" spans="1:7" x14ac:dyDescent="0.25">
      <c r="A44" s="2" t="s">
        <v>38</v>
      </c>
    </row>
    <row r="45" spans="1:7" x14ac:dyDescent="0.25">
      <c r="A45" s="2" t="s">
        <v>39</v>
      </c>
      <c r="B45" s="2" t="s">
        <v>6</v>
      </c>
      <c r="C45" s="2" t="s">
        <v>12</v>
      </c>
      <c r="D45" s="2" t="s">
        <v>13</v>
      </c>
      <c r="E45" s="2" t="s">
        <v>14</v>
      </c>
      <c r="F45" s="2" t="s">
        <v>15</v>
      </c>
    </row>
    <row r="47" spans="1:7" x14ac:dyDescent="0.25">
      <c r="A47" s="2" t="s">
        <v>40</v>
      </c>
    </row>
    <row r="48" spans="1:7" x14ac:dyDescent="0.25">
      <c r="A48" s="2" t="s">
        <v>41</v>
      </c>
    </row>
    <row r="49" spans="1:6" x14ac:dyDescent="0.25">
      <c r="A49" s="1" t="s">
        <v>42</v>
      </c>
      <c r="B49" s="1">
        <f>B28</f>
        <v>150000</v>
      </c>
      <c r="C49" s="1">
        <f>C28</f>
        <v>160000</v>
      </c>
      <c r="D49" s="1">
        <f>D28</f>
        <v>154000</v>
      </c>
      <c r="E49" s="1">
        <f>E28</f>
        <v>143000</v>
      </c>
      <c r="F49" s="1">
        <f>F28</f>
        <v>170000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3"/>
  <sheetViews>
    <sheetView workbookViewId="0">
      <selection activeCell="A28" sqref="A1:XFD1048576"/>
    </sheetView>
  </sheetViews>
  <sheetFormatPr defaultColWidth="9.28515625" defaultRowHeight="15" x14ac:dyDescent="0.25"/>
  <cols>
    <col min="1" max="1" width="31.42578125" style="1" customWidth="1"/>
    <col min="2" max="2" width="11.140625" style="1" customWidth="1"/>
    <col min="3" max="3" width="9.85546875" style="1" customWidth="1"/>
    <col min="4" max="4" width="11" style="1" customWidth="1"/>
    <col min="5" max="5" width="12.140625" style="1" customWidth="1"/>
    <col min="6" max="6" width="11" style="1" customWidth="1"/>
    <col min="7" max="16384" width="9.28515625" style="1"/>
  </cols>
  <sheetData>
    <row r="2" spans="1:9" x14ac:dyDescent="0.25">
      <c r="A2" s="2" t="s">
        <v>43</v>
      </c>
    </row>
    <row r="4" spans="1:9" x14ac:dyDescent="0.25">
      <c r="A4" s="9" t="s">
        <v>1</v>
      </c>
      <c r="B4" s="9" t="s">
        <v>2</v>
      </c>
    </row>
    <row r="5" spans="1:9" x14ac:dyDescent="0.25">
      <c r="A5" s="9" t="s">
        <v>3</v>
      </c>
      <c r="B5" s="9" t="s">
        <v>4</v>
      </c>
    </row>
    <row r="6" spans="1:9" x14ac:dyDescent="0.25">
      <c r="A6" s="9" t="s">
        <v>5</v>
      </c>
      <c r="B6" s="9" t="s">
        <v>6</v>
      </c>
      <c r="F6" s="1" t="s">
        <v>170</v>
      </c>
    </row>
    <row r="7" spans="1:9" x14ac:dyDescent="0.25">
      <c r="A7" s="9" t="s">
        <v>7</v>
      </c>
      <c r="B7" s="9">
        <v>150</v>
      </c>
      <c r="F7" s="1" t="s">
        <v>171</v>
      </c>
      <c r="H7" s="1">
        <v>1000</v>
      </c>
    </row>
    <row r="8" spans="1:9" x14ac:dyDescent="0.25">
      <c r="A8" s="9" t="s">
        <v>8</v>
      </c>
      <c r="B8" s="9">
        <v>1000</v>
      </c>
      <c r="F8" s="1" t="s">
        <v>172</v>
      </c>
      <c r="H8" s="1">
        <f>-H7*I8</f>
        <v>0</v>
      </c>
      <c r="I8" s="36">
        <v>0</v>
      </c>
    </row>
    <row r="9" spans="1:9" x14ac:dyDescent="0.25">
      <c r="A9" s="9" t="s">
        <v>9</v>
      </c>
      <c r="B9" s="9">
        <f>B7*B8</f>
        <v>150000</v>
      </c>
      <c r="F9" s="1" t="s">
        <v>173</v>
      </c>
      <c r="H9" s="1">
        <f>H7+H8</f>
        <v>1000</v>
      </c>
    </row>
    <row r="10" spans="1:9" x14ac:dyDescent="0.25">
      <c r="A10" s="9" t="s">
        <v>10</v>
      </c>
      <c r="B10" s="11">
        <f>B9*1%</f>
        <v>1500</v>
      </c>
    </row>
    <row r="11" spans="1:9" x14ac:dyDescent="0.25">
      <c r="A11" s="10" t="s">
        <v>11</v>
      </c>
      <c r="B11" s="9" t="s">
        <v>12</v>
      </c>
      <c r="C11" s="9">
        <v>160</v>
      </c>
    </row>
    <row r="12" spans="1:9" x14ac:dyDescent="0.25">
      <c r="B12" s="9" t="s">
        <v>13</v>
      </c>
      <c r="C12" s="9">
        <v>154</v>
      </c>
    </row>
    <row r="13" spans="1:9" x14ac:dyDescent="0.25">
      <c r="B13" s="9" t="s">
        <v>14</v>
      </c>
      <c r="C13" s="9">
        <v>143</v>
      </c>
    </row>
    <row r="14" spans="1:9" x14ac:dyDescent="0.25">
      <c r="B14" s="9" t="s">
        <v>15</v>
      </c>
      <c r="C14" s="9">
        <v>170</v>
      </c>
    </row>
    <row r="16" spans="1:9" ht="16.5" x14ac:dyDescent="0.35">
      <c r="A16" s="3" t="s">
        <v>16</v>
      </c>
    </row>
    <row r="18" spans="1:6" x14ac:dyDescent="0.25">
      <c r="A18" s="1" t="s">
        <v>17</v>
      </c>
      <c r="B18" s="1" t="s">
        <v>18</v>
      </c>
      <c r="C18" s="1">
        <f>B9+B10</f>
        <v>151500</v>
      </c>
      <c r="D18" s="1" t="s">
        <v>126</v>
      </c>
    </row>
    <row r="20" spans="1:6" x14ac:dyDescent="0.25">
      <c r="A20" s="1" t="s">
        <v>20</v>
      </c>
      <c r="B20" s="1" t="s">
        <v>21</v>
      </c>
      <c r="C20" s="1">
        <f>SUM(C18:C19)</f>
        <v>151500</v>
      </c>
    </row>
    <row r="22" spans="1:6" ht="16.5" x14ac:dyDescent="0.35">
      <c r="A22" s="3" t="s">
        <v>22</v>
      </c>
    </row>
    <row r="24" spans="1:6" x14ac:dyDescent="0.25">
      <c r="A24" s="2" t="s">
        <v>23</v>
      </c>
      <c r="B24" s="2" t="s">
        <v>6</v>
      </c>
      <c r="C24" s="2" t="s">
        <v>12</v>
      </c>
      <c r="D24" s="2" t="s">
        <v>13</v>
      </c>
      <c r="E24" s="2" t="s">
        <v>14</v>
      </c>
      <c r="F24" s="2" t="s">
        <v>15</v>
      </c>
    </row>
    <row r="25" spans="1:6" x14ac:dyDescent="0.25">
      <c r="A25" s="1" t="s">
        <v>24</v>
      </c>
      <c r="B25" s="1">
        <v>0</v>
      </c>
      <c r="C25" s="1">
        <f>B28</f>
        <v>151500</v>
      </c>
      <c r="D25" s="1">
        <f t="shared" ref="D25:F25" si="0">C28</f>
        <v>160000</v>
      </c>
      <c r="E25" s="1">
        <f t="shared" si="0"/>
        <v>154000</v>
      </c>
      <c r="F25" s="1">
        <f t="shared" si="0"/>
        <v>143000</v>
      </c>
    </row>
    <row r="26" spans="1:6" x14ac:dyDescent="0.25">
      <c r="A26" s="1" t="s">
        <v>25</v>
      </c>
      <c r="B26" s="47">
        <f>C18</f>
        <v>151500</v>
      </c>
      <c r="C26" s="4">
        <v>0</v>
      </c>
      <c r="D26" s="4">
        <v>0</v>
      </c>
      <c r="E26" s="4">
        <v>0</v>
      </c>
      <c r="F26" s="4">
        <v>0</v>
      </c>
    </row>
    <row r="27" spans="1:6" s="2" customFormat="1" ht="14.25" x14ac:dyDescent="0.2">
      <c r="A27" s="2" t="s">
        <v>26</v>
      </c>
      <c r="B27" s="2">
        <f>SUM(B25:B26)</f>
        <v>151500</v>
      </c>
      <c r="C27" s="2">
        <f t="shared" ref="C27:F27" si="1">SUM(C25:C26)</f>
        <v>151500</v>
      </c>
      <c r="D27" s="2">
        <f t="shared" si="1"/>
        <v>160000</v>
      </c>
      <c r="E27" s="2">
        <f t="shared" si="1"/>
        <v>154000</v>
      </c>
      <c r="F27" s="2">
        <f t="shared" si="1"/>
        <v>143000</v>
      </c>
    </row>
    <row r="28" spans="1:6" x14ac:dyDescent="0.25">
      <c r="A28" s="1" t="s">
        <v>27</v>
      </c>
      <c r="B28" s="1">
        <f>B27</f>
        <v>151500</v>
      </c>
      <c r="C28" s="1">
        <f>C11*B8</f>
        <v>160000</v>
      </c>
      <c r="D28" s="1">
        <f>B8*C12</f>
        <v>154000</v>
      </c>
      <c r="E28" s="1">
        <f>C13*B8</f>
        <v>143000</v>
      </c>
      <c r="F28" s="1">
        <f>C14*B8</f>
        <v>170000</v>
      </c>
    </row>
    <row r="29" spans="1:6" ht="15.75" thickBot="1" x14ac:dyDescent="0.3">
      <c r="A29" s="1" t="s">
        <v>28</v>
      </c>
      <c r="B29" s="5">
        <f>B28-B27</f>
        <v>0</v>
      </c>
      <c r="C29" s="5">
        <f>C28-C27</f>
        <v>8500</v>
      </c>
      <c r="D29" s="5">
        <f>D28-D27</f>
        <v>-6000</v>
      </c>
      <c r="E29" s="5">
        <f>E28-E27</f>
        <v>-11000</v>
      </c>
      <c r="F29" s="5">
        <f>F28-F27</f>
        <v>27000</v>
      </c>
    </row>
    <row r="30" spans="1:6" ht="15.75" thickTop="1" x14ac:dyDescent="0.25"/>
    <row r="32" spans="1:6" x14ac:dyDescent="0.25">
      <c r="A32" s="2" t="s">
        <v>29</v>
      </c>
    </row>
    <row r="33" spans="1:7" x14ac:dyDescent="0.25">
      <c r="A33" s="2" t="s">
        <v>30</v>
      </c>
      <c r="C33" s="2" t="s">
        <v>12</v>
      </c>
      <c r="D33" s="2" t="s">
        <v>13</v>
      </c>
      <c r="E33" s="2" t="s">
        <v>14</v>
      </c>
      <c r="F33" s="2" t="s">
        <v>15</v>
      </c>
      <c r="G33" s="1" t="s">
        <v>31</v>
      </c>
    </row>
    <row r="34" spans="1:7" x14ac:dyDescent="0.25">
      <c r="A34" s="1" t="s">
        <v>32</v>
      </c>
    </row>
    <row r="35" spans="1:7" x14ac:dyDescent="0.25">
      <c r="A35" s="1" t="s">
        <v>33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25">
      <c r="A36" s="1" t="s">
        <v>34</v>
      </c>
      <c r="C36" s="1">
        <f>-C19</f>
        <v>0</v>
      </c>
      <c r="D36" s="1">
        <v>0</v>
      </c>
      <c r="E36" s="1">
        <v>0</v>
      </c>
      <c r="F36" s="1">
        <v>0</v>
      </c>
      <c r="G36" s="1">
        <f>SUM(C36:F36)</f>
        <v>0</v>
      </c>
    </row>
    <row r="37" spans="1:7" x14ac:dyDescent="0.25">
      <c r="A37" s="46" t="s">
        <v>174</v>
      </c>
      <c r="E37" s="46">
        <f>H9</f>
        <v>1000</v>
      </c>
    </row>
    <row r="38" spans="1:7" x14ac:dyDescent="0.25">
      <c r="A38" s="1" t="s">
        <v>35</v>
      </c>
      <c r="C38" s="7">
        <f t="shared" ref="C38:D38" si="2">SUM(C35:C37)</f>
        <v>0</v>
      </c>
      <c r="D38" s="7">
        <f t="shared" si="2"/>
        <v>0</v>
      </c>
      <c r="E38" s="7">
        <f>SUM(E35:E37)</f>
        <v>1000</v>
      </c>
      <c r="F38" s="7">
        <f t="shared" ref="F38:G38" si="3">SUM(F35:F37)</f>
        <v>0</v>
      </c>
      <c r="G38" s="7">
        <f t="shared" si="3"/>
        <v>0</v>
      </c>
    </row>
    <row r="39" spans="1:7" ht="16.5" x14ac:dyDescent="0.35">
      <c r="A39" s="3" t="s">
        <v>36</v>
      </c>
    </row>
    <row r="40" spans="1:7" ht="16.5" x14ac:dyDescent="0.35">
      <c r="A40" s="3" t="s">
        <v>44</v>
      </c>
    </row>
    <row r="41" spans="1:7" x14ac:dyDescent="0.25">
      <c r="A41" s="1" t="s">
        <v>141</v>
      </c>
      <c r="C41" s="1" t="s">
        <v>144</v>
      </c>
    </row>
    <row r="42" spans="1:7" x14ac:dyDescent="0.25">
      <c r="A42" s="1" t="s">
        <v>143</v>
      </c>
      <c r="C42" s="1" t="s">
        <v>145</v>
      </c>
    </row>
    <row r="43" spans="1:7" x14ac:dyDescent="0.25">
      <c r="A43" s="1" t="s">
        <v>142</v>
      </c>
    </row>
    <row r="44" spans="1:7" ht="16.5" x14ac:dyDescent="0.35">
      <c r="A44" s="3" t="s">
        <v>45</v>
      </c>
    </row>
    <row r="45" spans="1:7" s="46" customFormat="1" x14ac:dyDescent="0.25">
      <c r="A45" s="46" t="s">
        <v>46</v>
      </c>
      <c r="C45" s="46">
        <f>C29</f>
        <v>8500</v>
      </c>
      <c r="D45" s="46">
        <f>D29</f>
        <v>-6000</v>
      </c>
      <c r="E45" s="46">
        <f>E29</f>
        <v>-11000</v>
      </c>
      <c r="F45" s="46">
        <f>F29</f>
        <v>27000</v>
      </c>
      <c r="G45" s="46">
        <f>SUM(C45:F45)</f>
        <v>18500</v>
      </c>
    </row>
    <row r="46" spans="1:7" x14ac:dyDescent="0.25">
      <c r="A46" s="1" t="s">
        <v>146</v>
      </c>
    </row>
    <row r="47" spans="1:7" x14ac:dyDescent="0.25">
      <c r="A47" s="1" t="s">
        <v>147</v>
      </c>
    </row>
    <row r="49" spans="1:7" ht="15.75" thickBot="1" x14ac:dyDescent="0.3">
      <c r="A49" s="1" t="s">
        <v>37</v>
      </c>
      <c r="C49" s="5">
        <f>SUM(C38:C48)</f>
        <v>8500</v>
      </c>
      <c r="D49" s="5">
        <f t="shared" ref="D49:G49" si="4">SUM(D38:D48)</f>
        <v>-6000</v>
      </c>
      <c r="E49" s="5">
        <f t="shared" si="4"/>
        <v>-10000</v>
      </c>
      <c r="F49" s="5">
        <f t="shared" si="4"/>
        <v>27000</v>
      </c>
      <c r="G49" s="5">
        <f t="shared" si="4"/>
        <v>18500</v>
      </c>
    </row>
    <row r="50" spans="1:7" ht="15.75" thickTop="1" x14ac:dyDescent="0.25"/>
    <row r="52" spans="1:7" x14ac:dyDescent="0.25">
      <c r="A52" s="2" t="s">
        <v>38</v>
      </c>
    </row>
    <row r="53" spans="1:7" x14ac:dyDescent="0.25">
      <c r="A53" s="2" t="s">
        <v>39</v>
      </c>
      <c r="B53" s="8" t="s">
        <v>6</v>
      </c>
      <c r="C53" s="8" t="s">
        <v>12</v>
      </c>
      <c r="D53" s="8" t="s">
        <v>13</v>
      </c>
      <c r="E53" s="8" t="s">
        <v>14</v>
      </c>
      <c r="F53" s="8" t="s">
        <v>15</v>
      </c>
    </row>
    <row r="54" spans="1:7" x14ac:dyDescent="0.25">
      <c r="A54" s="8" t="s">
        <v>40</v>
      </c>
      <c r="B54" s="9"/>
      <c r="C54" s="9"/>
      <c r="D54" s="9"/>
      <c r="E54" s="9"/>
      <c r="F54" s="9"/>
    </row>
    <row r="55" spans="1:7" x14ac:dyDescent="0.25">
      <c r="A55" s="8" t="s">
        <v>41</v>
      </c>
      <c r="B55" s="9"/>
      <c r="C55" s="9"/>
      <c r="D55" s="9"/>
      <c r="E55" s="9"/>
      <c r="F55" s="9"/>
    </row>
    <row r="56" spans="1:7" x14ac:dyDescent="0.25">
      <c r="A56" s="9" t="s">
        <v>158</v>
      </c>
      <c r="B56" s="9">
        <f>B28</f>
        <v>151500</v>
      </c>
      <c r="C56" s="9">
        <f>C28</f>
        <v>160000</v>
      </c>
      <c r="D56" s="9">
        <f>D28</f>
        <v>154000</v>
      </c>
      <c r="E56" s="9">
        <f>E28</f>
        <v>143000</v>
      </c>
      <c r="F56" s="9">
        <f>F28</f>
        <v>170000</v>
      </c>
    </row>
    <row r="57" spans="1:7" x14ac:dyDescent="0.25">
      <c r="A57" s="9"/>
      <c r="B57" s="9"/>
      <c r="C57" s="9"/>
      <c r="D57" s="9"/>
      <c r="E57" s="9"/>
      <c r="F57" s="9"/>
    </row>
    <row r="58" spans="1:7" x14ac:dyDescent="0.25">
      <c r="A58" s="9"/>
      <c r="B58" s="9"/>
      <c r="C58" s="9"/>
      <c r="D58" s="9"/>
      <c r="E58" s="9"/>
      <c r="F58" s="9"/>
    </row>
    <row r="59" spans="1:7" x14ac:dyDescent="0.25">
      <c r="A59" s="8" t="s">
        <v>47</v>
      </c>
      <c r="B59" s="9"/>
      <c r="C59" s="9"/>
      <c r="D59" s="9"/>
      <c r="E59" s="9"/>
      <c r="F59" s="9"/>
    </row>
    <row r="60" spans="1:7" x14ac:dyDescent="0.25">
      <c r="A60" s="9" t="s">
        <v>48</v>
      </c>
      <c r="B60" s="9"/>
      <c r="C60" s="9"/>
      <c r="D60" s="9"/>
      <c r="E60" s="9"/>
      <c r="F60" s="9"/>
    </row>
    <row r="61" spans="1:7" x14ac:dyDescent="0.25">
      <c r="A61" s="9" t="s">
        <v>49</v>
      </c>
      <c r="B61" s="9"/>
      <c r="C61" s="9"/>
      <c r="D61" s="9"/>
      <c r="E61" s="9"/>
      <c r="F61" s="9"/>
    </row>
    <row r="62" spans="1:7" x14ac:dyDescent="0.25">
      <c r="A62" s="9" t="s">
        <v>50</v>
      </c>
      <c r="B62" s="9"/>
      <c r="C62" s="9">
        <f>C45</f>
        <v>8500</v>
      </c>
      <c r="D62" s="9">
        <f>C62+D45</f>
        <v>2500</v>
      </c>
      <c r="E62" s="9">
        <f>D62+E45</f>
        <v>-8500</v>
      </c>
      <c r="F62" s="9">
        <f>E62+F45</f>
        <v>18500</v>
      </c>
    </row>
    <row r="66" spans="1:5" x14ac:dyDescent="0.25">
      <c r="A66" s="1" t="s">
        <v>148</v>
      </c>
    </row>
    <row r="67" spans="1:5" x14ac:dyDescent="0.25">
      <c r="B67" s="1" t="s">
        <v>149</v>
      </c>
      <c r="C67" s="1" t="s">
        <v>150</v>
      </c>
      <c r="D67" s="1" t="s">
        <v>50</v>
      </c>
      <c r="E67" s="1" t="s">
        <v>157</v>
      </c>
    </row>
    <row r="68" spans="1:5" x14ac:dyDescent="0.25">
      <c r="A68" s="1" t="s">
        <v>151</v>
      </c>
    </row>
    <row r="69" spans="1:5" x14ac:dyDescent="0.25">
      <c r="A69" s="1" t="s">
        <v>152</v>
      </c>
      <c r="C69" s="1" t="s">
        <v>154</v>
      </c>
    </row>
    <row r="70" spans="1:5" x14ac:dyDescent="0.25">
      <c r="A70" s="1" t="s">
        <v>153</v>
      </c>
      <c r="D70" s="1">
        <f>C45</f>
        <v>8500</v>
      </c>
    </row>
    <row r="71" spans="1:5" x14ac:dyDescent="0.25">
      <c r="A71" s="1" t="s">
        <v>155</v>
      </c>
      <c r="B71" s="1">
        <f t="shared" ref="B71:C71" si="5">SUM(B68:B70)</f>
        <v>0</v>
      </c>
      <c r="C71" s="1">
        <f t="shared" si="5"/>
        <v>0</v>
      </c>
      <c r="D71" s="1">
        <f>SUM(D68:D70)</f>
        <v>8500</v>
      </c>
      <c r="E71" s="1">
        <f>SUM(B71:D71)</f>
        <v>8500</v>
      </c>
    </row>
    <row r="73" spans="1:5" x14ac:dyDescent="0.25">
      <c r="A73" s="1" t="s">
        <v>156</v>
      </c>
      <c r="C73" s="1">
        <f>-D73</f>
        <v>8500</v>
      </c>
      <c r="D73" s="1">
        <f>-D71</f>
        <v>-8500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topLeftCell="A31" workbookViewId="0">
      <selection sqref="A1:XFD1048576"/>
    </sheetView>
  </sheetViews>
  <sheetFormatPr defaultColWidth="9.28515625" defaultRowHeight="15" x14ac:dyDescent="0.25"/>
  <cols>
    <col min="1" max="1" width="27.42578125" style="1" customWidth="1"/>
    <col min="2" max="3" width="9.28515625" style="1"/>
    <col min="4" max="4" width="13.28515625" style="1" customWidth="1"/>
    <col min="5" max="5" width="10" style="1" bestFit="1" customWidth="1"/>
    <col min="6" max="7" width="9.28515625" style="1"/>
    <col min="8" max="8" width="4.140625" style="1" customWidth="1"/>
    <col min="9" max="9" width="9.28515625" style="1"/>
    <col min="10" max="10" width="10.28515625" style="1" customWidth="1"/>
    <col min="11" max="11" width="6.7109375" style="1" customWidth="1"/>
    <col min="12" max="12" width="10.85546875" style="1" bestFit="1" customWidth="1"/>
    <col min="13" max="13" width="10.7109375" style="1" customWidth="1"/>
    <col min="14" max="16384" width="9.28515625" style="1"/>
  </cols>
  <sheetData>
    <row r="2" spans="1:10" x14ac:dyDescent="0.25">
      <c r="A2" s="2" t="s">
        <v>127</v>
      </c>
    </row>
    <row r="4" spans="1:10" x14ac:dyDescent="0.25">
      <c r="A4" s="2" t="s">
        <v>51</v>
      </c>
      <c r="I4" s="8" t="s">
        <v>52</v>
      </c>
      <c r="J4" s="8" t="s">
        <v>53</v>
      </c>
    </row>
    <row r="5" spans="1:10" x14ac:dyDescent="0.25">
      <c r="A5" s="9" t="s">
        <v>54</v>
      </c>
      <c r="B5" s="9">
        <v>1000</v>
      </c>
      <c r="C5" s="9"/>
      <c r="I5" s="14" t="s">
        <v>55</v>
      </c>
      <c r="J5" s="9">
        <f>-B5-B14+B17</f>
        <v>-1022</v>
      </c>
    </row>
    <row r="6" spans="1:10" x14ac:dyDescent="0.25">
      <c r="A6" s="9" t="s">
        <v>56</v>
      </c>
      <c r="B6" s="9" t="s">
        <v>6</v>
      </c>
      <c r="C6" s="9"/>
      <c r="I6" s="9">
        <v>1</v>
      </c>
      <c r="J6" s="18">
        <f>G12</f>
        <v>315.47080370609785</v>
      </c>
    </row>
    <row r="7" spans="1:10" x14ac:dyDescent="0.25">
      <c r="A7" s="9" t="s">
        <v>52</v>
      </c>
      <c r="B7" s="9">
        <v>4</v>
      </c>
      <c r="C7" s="9" t="s">
        <v>57</v>
      </c>
      <c r="I7" s="9">
        <v>2</v>
      </c>
      <c r="J7" s="18">
        <f>J6</f>
        <v>315.47080370609785</v>
      </c>
    </row>
    <row r="8" spans="1:10" x14ac:dyDescent="0.25">
      <c r="A8" s="9" t="s">
        <v>58</v>
      </c>
      <c r="B8" s="9" t="s">
        <v>59</v>
      </c>
      <c r="C8" s="9"/>
      <c r="I8" s="9">
        <v>3</v>
      </c>
      <c r="J8" s="18">
        <f>J7</f>
        <v>315.47080370609785</v>
      </c>
    </row>
    <row r="9" spans="1:10" x14ac:dyDescent="0.25">
      <c r="A9" s="9" t="s">
        <v>60</v>
      </c>
      <c r="B9" s="16">
        <v>0.1</v>
      </c>
      <c r="C9" s="9" t="s">
        <v>128</v>
      </c>
      <c r="I9" s="9">
        <v>4</v>
      </c>
      <c r="J9" s="18">
        <f>J8</f>
        <v>315.47080370609785</v>
      </c>
    </row>
    <row r="10" spans="1:10" ht="16.5" x14ac:dyDescent="0.35">
      <c r="A10" s="3" t="s">
        <v>61</v>
      </c>
      <c r="I10" s="9"/>
      <c r="J10" s="15">
        <f>IRR(J5:J9)</f>
        <v>9.0016508728338884E-2</v>
      </c>
    </row>
    <row r="11" spans="1:10" x14ac:dyDescent="0.25">
      <c r="A11" s="9" t="s">
        <v>62</v>
      </c>
      <c r="B11" s="17">
        <f>(1-(1/(1+B9)^B7))/B9</f>
        <v>3.1698654463492946</v>
      </c>
    </row>
    <row r="12" spans="1:10" x14ac:dyDescent="0.25">
      <c r="A12" s="9" t="s">
        <v>63</v>
      </c>
      <c r="B12" s="29">
        <f>B5/B11</f>
        <v>315.47080370609768</v>
      </c>
      <c r="D12" s="1" t="s">
        <v>64</v>
      </c>
      <c r="G12" s="12">
        <f>-PMT(B9,B7,B5)</f>
        <v>315.47080370609785</v>
      </c>
    </row>
    <row r="14" spans="1:10" x14ac:dyDescent="0.25">
      <c r="A14" s="9" t="s">
        <v>34</v>
      </c>
      <c r="B14" s="29">
        <v>22</v>
      </c>
      <c r="F14" s="1" t="s">
        <v>159</v>
      </c>
      <c r="G14" s="1" t="s">
        <v>160</v>
      </c>
      <c r="H14" s="1" t="s">
        <v>161</v>
      </c>
      <c r="I14" s="1" t="s">
        <v>114</v>
      </c>
    </row>
    <row r="15" spans="1:10" x14ac:dyDescent="0.25">
      <c r="A15" s="9" t="s">
        <v>65</v>
      </c>
      <c r="B15" s="9">
        <f>B5+B14</f>
        <v>1022</v>
      </c>
      <c r="F15" s="1">
        <f>B12</f>
        <v>315.47080370609768</v>
      </c>
      <c r="G15" s="1">
        <f>B11</f>
        <v>3.1698654463492946</v>
      </c>
      <c r="I15" s="1">
        <f>F15*G15</f>
        <v>1000</v>
      </c>
    </row>
    <row r="16" spans="1:10" x14ac:dyDescent="0.25">
      <c r="A16" s="19"/>
      <c r="B16" s="19"/>
    </row>
    <row r="17" spans="1:7" x14ac:dyDescent="0.25">
      <c r="A17" s="19" t="s">
        <v>162</v>
      </c>
      <c r="B17" s="19">
        <v>0</v>
      </c>
      <c r="C17" s="1" t="s">
        <v>163</v>
      </c>
      <c r="G17" s="1" t="s">
        <v>165</v>
      </c>
    </row>
    <row r="18" spans="1:7" x14ac:dyDescent="0.25">
      <c r="A18" s="19"/>
      <c r="B18" s="19"/>
      <c r="C18" s="1" t="s">
        <v>164</v>
      </c>
    </row>
    <row r="19" spans="1:7" x14ac:dyDescent="0.25">
      <c r="A19" s="19"/>
      <c r="B19" s="19"/>
    </row>
    <row r="20" spans="1:7" x14ac:dyDescent="0.25">
      <c r="A20" s="19"/>
      <c r="B20" s="19"/>
    </row>
    <row r="21" spans="1:7" x14ac:dyDescent="0.25">
      <c r="A21" s="19"/>
      <c r="B21" s="19"/>
    </row>
    <row r="22" spans="1:7" x14ac:dyDescent="0.25">
      <c r="A22" s="19"/>
      <c r="B22" s="19"/>
    </row>
    <row r="23" spans="1:7" x14ac:dyDescent="0.25">
      <c r="A23" s="19"/>
      <c r="B23" s="19"/>
    </row>
    <row r="24" spans="1:7" x14ac:dyDescent="0.25">
      <c r="A24" s="20" t="s">
        <v>66</v>
      </c>
      <c r="B24" s="19"/>
    </row>
    <row r="25" spans="1:7" x14ac:dyDescent="0.25">
      <c r="A25" s="1" t="s">
        <v>67</v>
      </c>
    </row>
    <row r="26" spans="1:7" x14ac:dyDescent="0.25">
      <c r="A26" s="1" t="s">
        <v>68</v>
      </c>
    </row>
    <row r="28" spans="1:7" x14ac:dyDescent="0.25">
      <c r="A28" s="9" t="s">
        <v>69</v>
      </c>
      <c r="B28" s="15">
        <f>J10</f>
        <v>9.0016508728338884E-2</v>
      </c>
    </row>
    <row r="31" spans="1:7" x14ac:dyDescent="0.25">
      <c r="A31" s="2" t="s">
        <v>70</v>
      </c>
      <c r="D31" s="1" t="s">
        <v>129</v>
      </c>
    </row>
    <row r="33" spans="1:13" ht="29.25" x14ac:dyDescent="0.25">
      <c r="A33" s="52" t="s">
        <v>71</v>
      </c>
      <c r="B33" s="52" t="s">
        <v>72</v>
      </c>
      <c r="C33" s="21" t="s">
        <v>73</v>
      </c>
      <c r="D33" s="52" t="s">
        <v>74</v>
      </c>
      <c r="E33" s="52" t="s">
        <v>75</v>
      </c>
    </row>
    <row r="34" spans="1:13" x14ac:dyDescent="0.25">
      <c r="A34" s="52"/>
      <c r="B34" s="52"/>
      <c r="C34" s="23">
        <f>B28</f>
        <v>9.0016508728338884E-2</v>
      </c>
      <c r="D34" s="52"/>
      <c r="E34" s="52"/>
    </row>
    <row r="35" spans="1:13" x14ac:dyDescent="0.25">
      <c r="A35" s="9">
        <v>1</v>
      </c>
      <c r="B35" s="9">
        <f>-J5</f>
        <v>1022</v>
      </c>
      <c r="C35" s="29">
        <f>B35*$C$34</f>
        <v>91.996871920362338</v>
      </c>
      <c r="D35" s="29">
        <f>-G12</f>
        <v>-315.47080370609785</v>
      </c>
      <c r="E35" s="9">
        <f>SUM(B35:D35)</f>
        <v>798.52606821426446</v>
      </c>
    </row>
    <row r="36" spans="1:13" x14ac:dyDescent="0.25">
      <c r="A36" s="9">
        <v>2</v>
      </c>
      <c r="B36" s="9">
        <f>E35</f>
        <v>798.52606821426446</v>
      </c>
      <c r="C36" s="29">
        <f>B36*$C$34</f>
        <v>71.880528789215461</v>
      </c>
      <c r="D36" s="29">
        <f>D35</f>
        <v>-315.47080370609785</v>
      </c>
      <c r="E36" s="9">
        <f>SUM(B36:D36)</f>
        <v>554.93579329738202</v>
      </c>
    </row>
    <row r="37" spans="1:13" x14ac:dyDescent="0.25">
      <c r="A37" s="9">
        <v>3</v>
      </c>
      <c r="B37" s="9">
        <f>E36</f>
        <v>554.93579329738202</v>
      </c>
      <c r="C37" s="29">
        <f>B37*$C$34</f>
        <v>49.953382681021452</v>
      </c>
      <c r="D37" s="29">
        <f>D36</f>
        <v>-315.47080370609785</v>
      </c>
      <c r="E37" s="9">
        <f>SUM(B37:D37)</f>
        <v>289.41837227230565</v>
      </c>
    </row>
    <row r="38" spans="1:13" x14ac:dyDescent="0.25">
      <c r="A38" s="9">
        <v>4</v>
      </c>
      <c r="B38" s="9">
        <f>E37</f>
        <v>289.41837227230565</v>
      </c>
      <c r="C38" s="29">
        <f>B38*$C$34</f>
        <v>26.052431433791632</v>
      </c>
      <c r="D38" s="29">
        <f>D37</f>
        <v>-315.47080370609785</v>
      </c>
      <c r="E38" s="29">
        <f>ROUND(SUM(B38:D38),2)</f>
        <v>0</v>
      </c>
    </row>
    <row r="39" spans="1:13" x14ac:dyDescent="0.25">
      <c r="A39" s="22"/>
      <c r="B39" s="22"/>
      <c r="C39" s="44">
        <f>SUM(C35:C38)</f>
        <v>239.88321482439088</v>
      </c>
      <c r="D39" s="44">
        <f>SUM(D35:D38)</f>
        <v>-1261.8832148243914</v>
      </c>
      <c r="E39" s="25"/>
    </row>
    <row r="42" spans="1:13" x14ac:dyDescent="0.25">
      <c r="A42" s="24" t="s">
        <v>76</v>
      </c>
      <c r="B42" s="22"/>
      <c r="C42" s="22"/>
      <c r="D42" s="22"/>
      <c r="E42" s="22"/>
      <c r="F42" s="22"/>
    </row>
    <row r="43" spans="1:13" x14ac:dyDescent="0.25">
      <c r="A43" s="22"/>
      <c r="B43" s="22"/>
      <c r="C43" s="22"/>
      <c r="D43" s="22"/>
      <c r="E43" s="22"/>
      <c r="F43" s="22"/>
    </row>
    <row r="44" spans="1:13" x14ac:dyDescent="0.25">
      <c r="A44" s="25" t="s">
        <v>77</v>
      </c>
      <c r="B44" s="22"/>
      <c r="C44" s="25" t="s">
        <v>78</v>
      </c>
      <c r="D44" s="25" t="s">
        <v>79</v>
      </c>
      <c r="E44" s="25" t="s">
        <v>80</v>
      </c>
      <c r="F44" s="25" t="s">
        <v>81</v>
      </c>
      <c r="G44" s="25" t="s">
        <v>31</v>
      </c>
    </row>
    <row r="45" spans="1:13" x14ac:dyDescent="0.25">
      <c r="A45" s="25"/>
      <c r="B45" s="22"/>
      <c r="C45" s="25"/>
      <c r="D45" s="25"/>
      <c r="E45" s="25"/>
      <c r="F45" s="25"/>
      <c r="G45" s="25"/>
    </row>
    <row r="46" spans="1:13" x14ac:dyDescent="0.25">
      <c r="A46" s="25" t="s">
        <v>82</v>
      </c>
      <c r="B46" s="22"/>
      <c r="C46" s="25">
        <f>C35</f>
        <v>91.996871920362338</v>
      </c>
      <c r="D46" s="25">
        <f>C36</f>
        <v>71.880528789215461</v>
      </c>
      <c r="E46" s="25">
        <f>C37</f>
        <v>49.953382681021452</v>
      </c>
      <c r="F46" s="28">
        <f>C38</f>
        <v>26.052431433791632</v>
      </c>
      <c r="G46" s="31">
        <f>SUM(C46:F46)</f>
        <v>239.88321482439088</v>
      </c>
      <c r="J46" s="1" t="s">
        <v>83</v>
      </c>
      <c r="L46" s="1" t="s">
        <v>84</v>
      </c>
      <c r="M46" s="12">
        <f>G12*B7+B17</f>
        <v>1261.8832148243914</v>
      </c>
    </row>
    <row r="47" spans="1:13" x14ac:dyDescent="0.25">
      <c r="A47" s="25"/>
      <c r="B47" s="22"/>
      <c r="C47" s="25"/>
      <c r="D47" s="25"/>
      <c r="E47" s="25"/>
      <c r="F47" s="28"/>
      <c r="G47" s="28"/>
      <c r="J47" s="1" t="s">
        <v>54</v>
      </c>
      <c r="M47" s="30">
        <f>-B5</f>
        <v>-1000</v>
      </c>
    </row>
    <row r="48" spans="1:13" x14ac:dyDescent="0.25">
      <c r="A48" s="26" t="s">
        <v>85</v>
      </c>
      <c r="B48" s="24"/>
      <c r="C48" s="26"/>
      <c r="D48" s="26"/>
      <c r="E48" s="26"/>
      <c r="F48" s="26"/>
      <c r="G48" s="26"/>
      <c r="J48" s="1" t="s">
        <v>86</v>
      </c>
      <c r="M48" s="12">
        <f>SUM(M46:M47)</f>
        <v>261.88321482439142</v>
      </c>
    </row>
    <row r="49" spans="1:13" ht="16.5" x14ac:dyDescent="0.35">
      <c r="A49" s="27" t="s">
        <v>87</v>
      </c>
      <c r="C49" s="9"/>
      <c r="D49" s="9"/>
      <c r="E49" s="9"/>
      <c r="F49" s="9"/>
      <c r="G49" s="9"/>
      <c r="J49" s="1" t="s">
        <v>34</v>
      </c>
      <c r="M49" s="12">
        <f>-B14</f>
        <v>-22</v>
      </c>
    </row>
    <row r="50" spans="1:13" ht="15.75" thickBot="1" x14ac:dyDescent="0.3">
      <c r="A50" s="9"/>
      <c r="C50" s="9"/>
      <c r="D50" s="9"/>
      <c r="E50" s="9"/>
      <c r="F50" s="9"/>
      <c r="G50" s="9"/>
      <c r="J50" s="1" t="s">
        <v>88</v>
      </c>
      <c r="M50" s="32">
        <f>SUM(M48:M49)</f>
        <v>239.88321482439142</v>
      </c>
    </row>
    <row r="51" spans="1:13" ht="15.75" thickTop="1" x14ac:dyDescent="0.25">
      <c r="A51" s="9"/>
      <c r="C51" s="9"/>
      <c r="D51" s="9"/>
      <c r="E51" s="9"/>
      <c r="F51" s="9"/>
      <c r="G51" s="9"/>
    </row>
    <row r="52" spans="1:13" s="2" customFormat="1" ht="14.25" x14ac:dyDescent="0.2">
      <c r="A52" s="8" t="s">
        <v>89</v>
      </c>
      <c r="C52" s="8"/>
      <c r="D52" s="8"/>
      <c r="E52" s="8"/>
      <c r="F52" s="8"/>
      <c r="G52" s="8"/>
    </row>
    <row r="55" spans="1:13" x14ac:dyDescent="0.25">
      <c r="A55" s="25" t="s">
        <v>90</v>
      </c>
      <c r="B55" s="25" t="s">
        <v>91</v>
      </c>
      <c r="C55" s="25" t="s">
        <v>78</v>
      </c>
      <c r="D55" s="25" t="s">
        <v>79</v>
      </c>
      <c r="E55" s="25" t="s">
        <v>80</v>
      </c>
      <c r="F55" s="25" t="s">
        <v>81</v>
      </c>
    </row>
    <row r="56" spans="1:13" x14ac:dyDescent="0.25">
      <c r="A56" s="26" t="s">
        <v>40</v>
      </c>
      <c r="B56" s="25"/>
      <c r="C56" s="25"/>
      <c r="D56" s="25"/>
      <c r="E56" s="25"/>
      <c r="F56" s="25"/>
    </row>
    <row r="57" spans="1:13" x14ac:dyDescent="0.25">
      <c r="A57" s="25" t="s">
        <v>92</v>
      </c>
      <c r="B57" s="25">
        <f>B35</f>
        <v>1022</v>
      </c>
      <c r="C57" s="25">
        <f>E35</f>
        <v>798.52606821426446</v>
      </c>
      <c r="D57" s="25">
        <f>E36</f>
        <v>554.93579329738202</v>
      </c>
      <c r="E57" s="25">
        <f>E37</f>
        <v>289.41837227230565</v>
      </c>
      <c r="F57" s="25">
        <f>E38</f>
        <v>0</v>
      </c>
    </row>
    <row r="58" spans="1:13" x14ac:dyDescent="0.25">
      <c r="A58" s="25"/>
      <c r="B58" s="25"/>
      <c r="C58" s="25"/>
      <c r="D58" s="25"/>
      <c r="E58" s="25"/>
      <c r="F58" s="25"/>
    </row>
  </sheetData>
  <mergeCells count="4">
    <mergeCell ref="A33:A34"/>
    <mergeCell ref="B33:B34"/>
    <mergeCell ref="D33:D34"/>
    <mergeCell ref="E33:E3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topLeftCell="A7" zoomScale="90" zoomScaleNormal="90" workbookViewId="0">
      <selection activeCell="A7" sqref="A1:XFD1048576"/>
    </sheetView>
  </sheetViews>
  <sheetFormatPr defaultColWidth="9.28515625" defaultRowHeight="15" x14ac:dyDescent="0.25"/>
  <cols>
    <col min="1" max="1" width="29.28515625" style="1" customWidth="1"/>
    <col min="2" max="2" width="9.28515625" style="1"/>
    <col min="3" max="3" width="9.7109375" style="1" customWidth="1"/>
    <col min="4" max="4" width="13.28515625" style="1" customWidth="1"/>
    <col min="5" max="5" width="11.140625" style="1" customWidth="1"/>
    <col min="6" max="6" width="10.28515625" style="1" bestFit="1" customWidth="1"/>
    <col min="7" max="7" width="9.28515625" style="1"/>
    <col min="8" max="8" width="9.85546875" style="1" customWidth="1"/>
    <col min="9" max="9" width="1.7109375" style="1" customWidth="1"/>
    <col min="10" max="10" width="10.28515625" style="1" customWidth="1"/>
    <col min="11" max="11" width="4.42578125" style="1" customWidth="1"/>
    <col min="12" max="12" width="13" style="1" customWidth="1"/>
    <col min="13" max="13" width="10.7109375" style="1" customWidth="1"/>
    <col min="14" max="16384" width="9.28515625" style="1"/>
  </cols>
  <sheetData>
    <row r="2" spans="1:7" x14ac:dyDescent="0.25">
      <c r="A2" s="2" t="s">
        <v>93</v>
      </c>
    </row>
    <row r="4" spans="1:7" x14ac:dyDescent="0.25">
      <c r="A4" s="2" t="s">
        <v>51</v>
      </c>
    </row>
    <row r="5" spans="1:7" x14ac:dyDescent="0.25">
      <c r="A5" s="9" t="s">
        <v>94</v>
      </c>
      <c r="B5" s="9" t="s">
        <v>6</v>
      </c>
      <c r="C5" s="9"/>
    </row>
    <row r="6" spans="1:7" x14ac:dyDescent="0.25">
      <c r="A6" s="9" t="s">
        <v>95</v>
      </c>
      <c r="B6" s="9">
        <v>900</v>
      </c>
      <c r="C6" s="9"/>
    </row>
    <row r="7" spans="1:7" x14ac:dyDescent="0.25">
      <c r="A7" s="9" t="s">
        <v>96</v>
      </c>
      <c r="B7" s="9">
        <v>1000</v>
      </c>
      <c r="C7" s="9"/>
      <c r="D7" s="1" t="s">
        <v>166</v>
      </c>
    </row>
    <row r="8" spans="1:7" x14ac:dyDescent="0.25">
      <c r="A8" s="9" t="s">
        <v>97</v>
      </c>
      <c r="B8" s="16">
        <v>0.1</v>
      </c>
      <c r="C8" s="9" t="s">
        <v>98</v>
      </c>
    </row>
    <row r="9" spans="1:7" x14ac:dyDescent="0.25">
      <c r="A9" s="9" t="s">
        <v>99</v>
      </c>
      <c r="B9" s="9" t="s">
        <v>100</v>
      </c>
      <c r="C9" s="9"/>
    </row>
    <row r="11" spans="1:7" x14ac:dyDescent="0.25">
      <c r="A11" s="19"/>
      <c r="B11" s="19"/>
      <c r="C11" s="19"/>
    </row>
    <row r="12" spans="1:7" x14ac:dyDescent="0.25">
      <c r="A12" s="20" t="s">
        <v>66</v>
      </c>
      <c r="B12" s="19"/>
      <c r="E12" s="8" t="s">
        <v>56</v>
      </c>
      <c r="F12" s="8" t="s">
        <v>53</v>
      </c>
    </row>
    <row r="13" spans="1:7" x14ac:dyDescent="0.25">
      <c r="A13" s="1" t="s">
        <v>67</v>
      </c>
      <c r="E13" s="14" t="s">
        <v>6</v>
      </c>
      <c r="F13" s="9">
        <f>-B6</f>
        <v>-900</v>
      </c>
    </row>
    <row r="14" spans="1:7" x14ac:dyDescent="0.25">
      <c r="A14" s="1" t="s">
        <v>68</v>
      </c>
      <c r="E14" s="9" t="s">
        <v>13</v>
      </c>
      <c r="F14" s="18">
        <f>B7*B8/2</f>
        <v>50</v>
      </c>
      <c r="G14" s="1" t="s">
        <v>167</v>
      </c>
    </row>
    <row r="15" spans="1:7" x14ac:dyDescent="0.25">
      <c r="E15" s="9" t="s">
        <v>15</v>
      </c>
      <c r="F15" s="18">
        <f>F14</f>
        <v>50</v>
      </c>
    </row>
    <row r="16" spans="1:7" x14ac:dyDescent="0.25">
      <c r="A16" s="9" t="s">
        <v>69</v>
      </c>
      <c r="B16" s="15">
        <f>F19</f>
        <v>0.16041184065544467</v>
      </c>
      <c r="E16" s="9" t="s">
        <v>101</v>
      </c>
      <c r="F16" s="18">
        <f>F15</f>
        <v>50</v>
      </c>
    </row>
    <row r="17" spans="1:8" x14ac:dyDescent="0.25">
      <c r="A17" s="1" t="s">
        <v>169</v>
      </c>
      <c r="E17" s="9" t="s">
        <v>100</v>
      </c>
      <c r="F17" s="18">
        <f>F16+B7</f>
        <v>1050</v>
      </c>
      <c r="G17" s="1" t="s">
        <v>168</v>
      </c>
    </row>
    <row r="18" spans="1:8" x14ac:dyDescent="0.25">
      <c r="E18" s="8"/>
      <c r="F18" s="33">
        <f>IRR(F13:F17)</f>
        <v>8.0205920327722335E-2</v>
      </c>
      <c r="G18" s="1" t="s">
        <v>102</v>
      </c>
    </row>
    <row r="19" spans="1:8" x14ac:dyDescent="0.25">
      <c r="E19" s="20"/>
      <c r="F19" s="13">
        <f>F18*2</f>
        <v>0.16041184065544467</v>
      </c>
      <c r="G19" s="1" t="s">
        <v>103</v>
      </c>
    </row>
    <row r="20" spans="1:8" x14ac:dyDescent="0.25">
      <c r="E20" s="20"/>
      <c r="F20" s="34"/>
    </row>
    <row r="21" spans="1:8" x14ac:dyDescent="0.25">
      <c r="A21" s="2" t="s">
        <v>104</v>
      </c>
    </row>
    <row r="23" spans="1:8" ht="29.25" x14ac:dyDescent="0.25">
      <c r="A23" s="52" t="s">
        <v>105</v>
      </c>
      <c r="B23" s="52" t="s">
        <v>72</v>
      </c>
      <c r="C23" s="21" t="s">
        <v>73</v>
      </c>
      <c r="D23" s="52" t="s">
        <v>74</v>
      </c>
      <c r="E23" s="52" t="s">
        <v>75</v>
      </c>
      <c r="F23" s="1" t="s">
        <v>193</v>
      </c>
    </row>
    <row r="24" spans="1:8" x14ac:dyDescent="0.25">
      <c r="A24" s="52"/>
      <c r="B24" s="52"/>
      <c r="C24" s="23">
        <f>F18</f>
        <v>8.0205920327722335E-2</v>
      </c>
      <c r="D24" s="52"/>
      <c r="E24" s="52"/>
    </row>
    <row r="25" spans="1:8" x14ac:dyDescent="0.25">
      <c r="A25" s="9" t="s">
        <v>13</v>
      </c>
      <c r="B25" s="9">
        <f>B6</f>
        <v>900</v>
      </c>
      <c r="C25" s="29">
        <f>B25*$C$24</f>
        <v>72.185328294950097</v>
      </c>
      <c r="D25" s="29">
        <f>-F14</f>
        <v>-50</v>
      </c>
      <c r="E25" s="9">
        <f>SUM(B25:D25)</f>
        <v>922.18532829495007</v>
      </c>
      <c r="G25" s="1" t="s">
        <v>175</v>
      </c>
      <c r="H25" s="12">
        <f>C25/6</f>
        <v>12.030888049158349</v>
      </c>
    </row>
    <row r="26" spans="1:8" x14ac:dyDescent="0.25">
      <c r="A26" s="9" t="s">
        <v>15</v>
      </c>
      <c r="B26" s="9">
        <f>E25</f>
        <v>922.18532829495007</v>
      </c>
      <c r="C26" s="29">
        <f t="shared" ref="C26:C28" si="0">B26*$C$24</f>
        <v>73.964722968619228</v>
      </c>
      <c r="D26" s="29">
        <f>D25</f>
        <v>-50</v>
      </c>
      <c r="E26" s="9">
        <f>SUM(B26:D26)</f>
        <v>946.15005126356925</v>
      </c>
      <c r="G26" s="1" t="s">
        <v>176</v>
      </c>
      <c r="H26" s="12">
        <f>H25</f>
        <v>12.030888049158349</v>
      </c>
    </row>
    <row r="27" spans="1:8" x14ac:dyDescent="0.25">
      <c r="A27" s="9" t="s">
        <v>101</v>
      </c>
      <c r="B27" s="9">
        <f>E26</f>
        <v>946.15005126356925</v>
      </c>
      <c r="C27" s="29">
        <f t="shared" si="0"/>
        <v>75.886835629716245</v>
      </c>
      <c r="D27" s="29">
        <f>D26</f>
        <v>-50</v>
      </c>
      <c r="E27" s="9">
        <f>SUM(B27:D27)</f>
        <v>972.03688689328555</v>
      </c>
    </row>
    <row r="28" spans="1:8" x14ac:dyDescent="0.25">
      <c r="A28" s="9" t="s">
        <v>106</v>
      </c>
      <c r="B28" s="9">
        <f>E27</f>
        <v>972.03688689328555</v>
      </c>
      <c r="C28" s="29">
        <f t="shared" si="0"/>
        <v>77.963113105770105</v>
      </c>
      <c r="D28" s="29">
        <f>-F17</f>
        <v>-1050</v>
      </c>
      <c r="E28" s="29">
        <f>ROUND(SUM(B28:D28),2)</f>
        <v>0</v>
      </c>
      <c r="G28" s="1" t="s">
        <v>177</v>
      </c>
      <c r="H28" s="12">
        <f>C26/6</f>
        <v>12.327453828103204</v>
      </c>
    </row>
    <row r="29" spans="1:8" x14ac:dyDescent="0.25">
      <c r="A29" s="22"/>
      <c r="B29" s="22"/>
      <c r="C29" s="29">
        <f>SUM(C25:C28)</f>
        <v>299.99999999905566</v>
      </c>
      <c r="D29" s="29">
        <f>SUM(D25:D28)</f>
        <v>-1200</v>
      </c>
      <c r="E29" s="25"/>
      <c r="G29" s="1" t="s">
        <v>178</v>
      </c>
      <c r="H29" s="12">
        <f>H28</f>
        <v>12.327453828103204</v>
      </c>
    </row>
    <row r="32" spans="1:8" x14ac:dyDescent="0.25">
      <c r="A32" s="24" t="s">
        <v>76</v>
      </c>
      <c r="B32" s="22"/>
      <c r="C32" s="22"/>
      <c r="D32" s="22"/>
      <c r="E32" s="22"/>
      <c r="F32" s="22"/>
    </row>
    <row r="33" spans="1:13" x14ac:dyDescent="0.25">
      <c r="A33" s="22"/>
      <c r="B33" s="22"/>
      <c r="C33" s="22"/>
      <c r="D33" s="22"/>
      <c r="E33" s="22"/>
      <c r="F33" s="22"/>
    </row>
    <row r="34" spans="1:13" x14ac:dyDescent="0.25">
      <c r="A34" s="25" t="s">
        <v>107</v>
      </c>
      <c r="B34" s="22"/>
      <c r="C34" s="9" t="s">
        <v>13</v>
      </c>
      <c r="D34" s="9" t="s">
        <v>15</v>
      </c>
      <c r="E34" s="9" t="s">
        <v>101</v>
      </c>
      <c r="F34" s="9" t="s">
        <v>106</v>
      </c>
      <c r="G34" s="25" t="s">
        <v>31</v>
      </c>
    </row>
    <row r="35" spans="1:13" x14ac:dyDescent="0.25">
      <c r="A35" s="25"/>
      <c r="B35" s="22"/>
      <c r="C35" s="25"/>
      <c r="D35" s="25"/>
      <c r="E35" s="25"/>
      <c r="F35" s="25"/>
      <c r="G35" s="25"/>
    </row>
    <row r="36" spans="1:13" x14ac:dyDescent="0.25">
      <c r="A36" s="25" t="s">
        <v>82</v>
      </c>
      <c r="B36" s="22"/>
      <c r="C36" s="25">
        <f>C25</f>
        <v>72.185328294950097</v>
      </c>
      <c r="D36" s="25">
        <f>C26</f>
        <v>73.964722968619228</v>
      </c>
      <c r="E36" s="25">
        <f>C27</f>
        <v>75.886835629716245</v>
      </c>
      <c r="F36" s="28">
        <f>C28</f>
        <v>77.963113105770105</v>
      </c>
      <c r="G36" s="31">
        <f>SUM(C36:F36)</f>
        <v>299.99999999905566</v>
      </c>
      <c r="J36" s="1" t="s">
        <v>108</v>
      </c>
      <c r="L36" s="1" t="s">
        <v>109</v>
      </c>
      <c r="M36" s="12">
        <f>SUM(F14:F17)</f>
        <v>1200</v>
      </c>
    </row>
    <row r="37" spans="1:13" x14ac:dyDescent="0.25">
      <c r="A37" s="25"/>
      <c r="B37" s="22"/>
      <c r="C37" s="25"/>
      <c r="D37" s="25"/>
      <c r="E37" s="25"/>
      <c r="F37" s="28"/>
      <c r="G37" s="28"/>
      <c r="J37" s="1" t="s">
        <v>95</v>
      </c>
      <c r="M37" s="30">
        <f>-B6</f>
        <v>-900</v>
      </c>
    </row>
    <row r="38" spans="1:13" x14ac:dyDescent="0.25">
      <c r="A38" s="26" t="s">
        <v>85</v>
      </c>
      <c r="B38" s="24"/>
      <c r="C38" s="26"/>
      <c r="D38" s="26"/>
      <c r="E38" s="26"/>
      <c r="F38" s="26"/>
      <c r="G38" s="26"/>
      <c r="J38" s="1" t="s">
        <v>86</v>
      </c>
      <c r="M38" s="12">
        <f>SUM(M36:M37)</f>
        <v>300</v>
      </c>
    </row>
    <row r="39" spans="1:13" ht="16.5" x14ac:dyDescent="0.35">
      <c r="A39" s="27" t="s">
        <v>87</v>
      </c>
      <c r="C39" s="9"/>
      <c r="D39" s="9"/>
      <c r="E39" s="9"/>
      <c r="F39" s="9"/>
      <c r="G39" s="9"/>
      <c r="J39" s="1" t="s">
        <v>34</v>
      </c>
      <c r="M39" s="12">
        <v>0</v>
      </c>
    </row>
    <row r="40" spans="1:13" ht="15.75" thickBot="1" x14ac:dyDescent="0.3">
      <c r="A40" s="9"/>
      <c r="C40" s="9"/>
      <c r="D40" s="9"/>
      <c r="E40" s="9"/>
      <c r="F40" s="9"/>
      <c r="G40" s="9"/>
      <c r="J40" s="1" t="s">
        <v>88</v>
      </c>
      <c r="M40" s="32">
        <f>SUM(M38:M39)</f>
        <v>300</v>
      </c>
    </row>
    <row r="41" spans="1:13" ht="15.75" thickTop="1" x14ac:dyDescent="0.25">
      <c r="A41" s="9"/>
      <c r="C41" s="9"/>
      <c r="D41" s="9"/>
      <c r="E41" s="9"/>
      <c r="F41" s="9"/>
      <c r="G41" s="9"/>
    </row>
    <row r="42" spans="1:13" s="2" customFormat="1" ht="14.25" x14ac:dyDescent="0.2">
      <c r="A42" s="8" t="s">
        <v>89</v>
      </c>
      <c r="C42" s="8"/>
      <c r="D42" s="8"/>
      <c r="E42" s="8"/>
      <c r="F42" s="8"/>
      <c r="G42" s="8"/>
    </row>
    <row r="45" spans="1:13" x14ac:dyDescent="0.25">
      <c r="A45" s="25" t="s">
        <v>90</v>
      </c>
      <c r="B45" s="14" t="s">
        <v>6</v>
      </c>
      <c r="C45" s="9" t="s">
        <v>13</v>
      </c>
      <c r="D45" s="9" t="s">
        <v>15</v>
      </c>
      <c r="E45" s="9" t="s">
        <v>101</v>
      </c>
      <c r="F45" s="9" t="s">
        <v>100</v>
      </c>
    </row>
    <row r="46" spans="1:13" x14ac:dyDescent="0.25">
      <c r="A46" s="26" t="s">
        <v>40</v>
      </c>
      <c r="B46" s="25"/>
      <c r="C46" s="25"/>
      <c r="D46" s="25"/>
      <c r="E46" s="25"/>
      <c r="F46" s="25"/>
    </row>
    <row r="47" spans="1:13" x14ac:dyDescent="0.25">
      <c r="A47" s="25" t="s">
        <v>121</v>
      </c>
      <c r="B47" s="25">
        <f>B25</f>
        <v>900</v>
      </c>
      <c r="C47" s="25">
        <f>E25</f>
        <v>922.18532829495007</v>
      </c>
      <c r="D47" s="25">
        <f>E26</f>
        <v>946.15005126356925</v>
      </c>
      <c r="E47" s="25">
        <f>E27</f>
        <v>972.03688689328555</v>
      </c>
      <c r="F47" s="25">
        <f>E28</f>
        <v>0</v>
      </c>
    </row>
    <row r="48" spans="1:13" x14ac:dyDescent="0.25">
      <c r="A48" s="25"/>
      <c r="B48" s="25"/>
      <c r="C48" s="25"/>
      <c r="D48" s="25"/>
      <c r="E48" s="25"/>
      <c r="F48" s="25"/>
    </row>
  </sheetData>
  <mergeCells count="4">
    <mergeCell ref="A23:A24"/>
    <mergeCell ref="B23:B24"/>
    <mergeCell ref="D23:D24"/>
    <mergeCell ref="E23:E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8"/>
  <sheetViews>
    <sheetView topLeftCell="A23" zoomScale="90" zoomScaleNormal="90" workbookViewId="0">
      <selection activeCell="A23" sqref="A1:XFD1048576"/>
    </sheetView>
  </sheetViews>
  <sheetFormatPr defaultColWidth="9.28515625" defaultRowHeight="15" x14ac:dyDescent="0.25"/>
  <cols>
    <col min="1" max="1" width="29.28515625" style="1" customWidth="1"/>
    <col min="2" max="2" width="11.42578125" style="1" customWidth="1"/>
    <col min="3" max="3" width="9.7109375" style="1" customWidth="1"/>
    <col min="4" max="4" width="13.28515625" style="1" customWidth="1"/>
    <col min="5" max="5" width="11.140625" style="1" customWidth="1"/>
    <col min="6" max="6" width="10.28515625" style="1" bestFit="1" customWidth="1"/>
    <col min="7" max="7" width="11.85546875" style="1" customWidth="1"/>
    <col min="8" max="8" width="11.7109375" style="1" customWidth="1"/>
    <col min="9" max="9" width="9.140625" style="1"/>
    <col min="10" max="10" width="10.28515625" style="1" customWidth="1"/>
    <col min="11" max="11" width="6.7109375" style="1" customWidth="1"/>
    <col min="12" max="12" width="13.7109375" style="1" customWidth="1"/>
    <col min="13" max="13" width="10.7109375" style="1" customWidth="1"/>
    <col min="14" max="17" width="9.28515625" style="1"/>
    <col min="18" max="18" width="12.140625" style="1" customWidth="1"/>
    <col min="19" max="23" width="9.28515625" style="1"/>
    <col min="24" max="24" width="10.7109375" style="1" customWidth="1"/>
    <col min="25" max="25" width="11.140625" style="1" customWidth="1"/>
    <col min="26" max="16384" width="9.28515625" style="1"/>
  </cols>
  <sheetData>
    <row r="2" spans="1:6" x14ac:dyDescent="0.25">
      <c r="A2" s="2" t="s">
        <v>110</v>
      </c>
    </row>
    <row r="4" spans="1:6" x14ac:dyDescent="0.25">
      <c r="A4" s="2" t="s">
        <v>51</v>
      </c>
    </row>
    <row r="5" spans="1:6" x14ac:dyDescent="0.25">
      <c r="A5" s="9" t="s">
        <v>94</v>
      </c>
      <c r="B5" s="9" t="s">
        <v>6</v>
      </c>
      <c r="C5" s="9"/>
    </row>
    <row r="6" spans="1:6" x14ac:dyDescent="0.25">
      <c r="A6" s="9" t="s">
        <v>95</v>
      </c>
      <c r="B6" s="9">
        <v>900</v>
      </c>
      <c r="C6" s="9"/>
    </row>
    <row r="7" spans="1:6" x14ac:dyDescent="0.25">
      <c r="A7" s="9" t="s">
        <v>96</v>
      </c>
      <c r="B7" s="9">
        <v>1000</v>
      </c>
      <c r="C7" s="9"/>
    </row>
    <row r="8" spans="1:6" x14ac:dyDescent="0.25">
      <c r="A8" s="9" t="s">
        <v>97</v>
      </c>
      <c r="B8" s="16">
        <v>0.1</v>
      </c>
      <c r="C8" s="9" t="s">
        <v>98</v>
      </c>
    </row>
    <row r="9" spans="1:6" x14ac:dyDescent="0.25">
      <c r="A9" s="9" t="s">
        <v>99</v>
      </c>
      <c r="B9" s="9" t="s">
        <v>100</v>
      </c>
      <c r="C9" s="9"/>
    </row>
    <row r="11" spans="1:6" x14ac:dyDescent="0.25">
      <c r="A11" s="19"/>
      <c r="B11" s="19"/>
      <c r="C11" s="19"/>
    </row>
    <row r="12" spans="1:6" x14ac:dyDescent="0.25">
      <c r="A12" s="20" t="s">
        <v>66</v>
      </c>
      <c r="B12" s="19"/>
      <c r="E12" s="8" t="s">
        <v>56</v>
      </c>
      <c r="F12" s="8" t="s">
        <v>53</v>
      </c>
    </row>
    <row r="13" spans="1:6" x14ac:dyDescent="0.25">
      <c r="A13" s="1" t="s">
        <v>67</v>
      </c>
      <c r="E13" s="14" t="s">
        <v>6</v>
      </c>
      <c r="F13" s="9">
        <v>-900</v>
      </c>
    </row>
    <row r="14" spans="1:6" x14ac:dyDescent="0.25">
      <c r="A14" s="1" t="s">
        <v>68</v>
      </c>
      <c r="E14" s="9" t="s">
        <v>13</v>
      </c>
      <c r="F14" s="18">
        <f>B7*B8/2</f>
        <v>50</v>
      </c>
    </row>
    <row r="15" spans="1:6" x14ac:dyDescent="0.25">
      <c r="E15" s="9" t="s">
        <v>15</v>
      </c>
      <c r="F15" s="18">
        <f>F14</f>
        <v>50</v>
      </c>
    </row>
    <row r="16" spans="1:6" x14ac:dyDescent="0.25">
      <c r="A16" s="9" t="s">
        <v>69</v>
      </c>
      <c r="B16" s="15">
        <f>F19</f>
        <v>0.16041184065544467</v>
      </c>
      <c r="E16" s="9" t="s">
        <v>101</v>
      </c>
      <c r="F16" s="18">
        <f>F15</f>
        <v>50</v>
      </c>
    </row>
    <row r="17" spans="1:27" x14ac:dyDescent="0.25">
      <c r="E17" s="9" t="s">
        <v>6</v>
      </c>
      <c r="F17" s="18">
        <f>F16+B7</f>
        <v>1050</v>
      </c>
      <c r="L17" s="1" t="s">
        <v>133</v>
      </c>
      <c r="M17" s="1" t="s">
        <v>132</v>
      </c>
      <c r="N17" s="36">
        <v>0.15</v>
      </c>
      <c r="O17" s="12">
        <v>934.99</v>
      </c>
    </row>
    <row r="18" spans="1:27" x14ac:dyDescent="0.25">
      <c r="E18" s="8"/>
      <c r="F18" s="33">
        <f>IRR(F13:F17)</f>
        <v>8.0205920327722335E-2</v>
      </c>
      <c r="G18" s="1" t="s">
        <v>102</v>
      </c>
      <c r="M18" s="1" t="s">
        <v>134</v>
      </c>
      <c r="N18" s="36">
        <v>0.14499999999999999</v>
      </c>
      <c r="O18" s="12">
        <v>941.22</v>
      </c>
    </row>
    <row r="19" spans="1:27" x14ac:dyDescent="0.25">
      <c r="E19" s="20"/>
      <c r="F19" s="13">
        <f>F18*2</f>
        <v>0.16041184065544467</v>
      </c>
      <c r="G19" s="1" t="s">
        <v>103</v>
      </c>
    </row>
    <row r="20" spans="1:27" x14ac:dyDescent="0.25">
      <c r="E20" s="20"/>
      <c r="F20" s="34"/>
    </row>
    <row r="21" spans="1:27" x14ac:dyDescent="0.25">
      <c r="A21" s="2" t="s">
        <v>104</v>
      </c>
      <c r="L21" s="1" t="s">
        <v>131</v>
      </c>
      <c r="N21" s="36">
        <v>0.15</v>
      </c>
      <c r="O21" s="36" t="s">
        <v>135</v>
      </c>
      <c r="T21" s="36">
        <v>0.13</v>
      </c>
      <c r="U21" s="36"/>
      <c r="Z21" s="36">
        <v>0.12</v>
      </c>
      <c r="AA21" s="36"/>
    </row>
    <row r="22" spans="1:27" ht="30" x14ac:dyDescent="0.25">
      <c r="E22" s="45" t="s">
        <v>130</v>
      </c>
      <c r="L22" s="1" t="s">
        <v>111</v>
      </c>
      <c r="N22" s="36">
        <f>N21/2</f>
        <v>7.4999999999999997E-2</v>
      </c>
      <c r="O22" s="36"/>
      <c r="R22" s="1" t="s">
        <v>115</v>
      </c>
      <c r="T22" s="36">
        <f>T21/2</f>
        <v>6.5000000000000002E-2</v>
      </c>
      <c r="U22" s="36"/>
      <c r="X22" s="1" t="s">
        <v>118</v>
      </c>
      <c r="Z22" s="36">
        <f>Z21/2</f>
        <v>0.06</v>
      </c>
      <c r="AA22" s="36"/>
    </row>
    <row r="23" spans="1:27" ht="57.75" x14ac:dyDescent="0.25">
      <c r="A23" s="52" t="s">
        <v>105</v>
      </c>
      <c r="B23" s="52" t="s">
        <v>72</v>
      </c>
      <c r="C23" s="21" t="s">
        <v>73</v>
      </c>
      <c r="D23" s="52" t="s">
        <v>74</v>
      </c>
      <c r="E23" s="52" t="s">
        <v>75</v>
      </c>
      <c r="F23" s="52" t="s">
        <v>112</v>
      </c>
      <c r="G23" s="52" t="s">
        <v>116</v>
      </c>
      <c r="H23" s="52" t="s">
        <v>117</v>
      </c>
      <c r="L23" s="8" t="s">
        <v>56</v>
      </c>
      <c r="M23" s="8" t="s">
        <v>53</v>
      </c>
      <c r="N23" s="35" t="s">
        <v>113</v>
      </c>
      <c r="O23" s="35" t="s">
        <v>114</v>
      </c>
      <c r="R23" s="8" t="s">
        <v>56</v>
      </c>
      <c r="S23" s="8" t="s">
        <v>53</v>
      </c>
      <c r="T23" s="35" t="s">
        <v>113</v>
      </c>
      <c r="U23" s="35" t="s">
        <v>114</v>
      </c>
      <c r="X23" s="8" t="s">
        <v>56</v>
      </c>
      <c r="Y23" s="8" t="s">
        <v>53</v>
      </c>
      <c r="Z23" s="35" t="s">
        <v>113</v>
      </c>
      <c r="AA23" s="35" t="s">
        <v>114</v>
      </c>
    </row>
    <row r="24" spans="1:27" x14ac:dyDescent="0.25">
      <c r="A24" s="52"/>
      <c r="B24" s="52"/>
      <c r="C24" s="23">
        <f>F18</f>
        <v>8.0205920327722335E-2</v>
      </c>
      <c r="D24" s="52"/>
      <c r="E24" s="52"/>
      <c r="F24" s="52"/>
      <c r="G24" s="52"/>
      <c r="H24" s="52"/>
      <c r="L24" s="14" t="s">
        <v>6</v>
      </c>
      <c r="M24" s="9">
        <v>0</v>
      </c>
      <c r="N24" s="9"/>
      <c r="O24" s="25"/>
      <c r="R24" s="14" t="s">
        <v>6</v>
      </c>
      <c r="S24" s="9">
        <v>0</v>
      </c>
      <c r="T24" s="9"/>
      <c r="U24" s="25"/>
      <c r="X24" s="14" t="s">
        <v>6</v>
      </c>
      <c r="Y24" s="9">
        <v>0</v>
      </c>
      <c r="Z24" s="9"/>
      <c r="AA24" s="25"/>
    </row>
    <row r="25" spans="1:27" x14ac:dyDescent="0.25">
      <c r="A25" s="9" t="s">
        <v>13</v>
      </c>
      <c r="B25" s="29">
        <f>B6</f>
        <v>900</v>
      </c>
      <c r="C25" s="29">
        <f>B25*$C$24</f>
        <v>72.185328294950097</v>
      </c>
      <c r="D25" s="29">
        <f>-F14</f>
        <v>-50</v>
      </c>
      <c r="E25" s="29">
        <f>SUM(B25:D25)</f>
        <v>922.18532829495007</v>
      </c>
      <c r="F25" s="38">
        <f>O29</f>
        <v>934.98685650320112</v>
      </c>
      <c r="G25" s="29">
        <f>F25-E25</f>
        <v>12.801528208251057</v>
      </c>
      <c r="H25" s="29">
        <f>G25</f>
        <v>12.801528208251057</v>
      </c>
      <c r="J25"/>
      <c r="L25" s="9" t="s">
        <v>13</v>
      </c>
      <c r="M25" s="18">
        <v>0</v>
      </c>
      <c r="N25" s="18"/>
      <c r="O25" s="25"/>
      <c r="R25" s="9" t="s">
        <v>13</v>
      </c>
      <c r="S25" s="18">
        <v>0</v>
      </c>
      <c r="T25" s="18"/>
      <c r="U25" s="25"/>
      <c r="X25" s="9" t="s">
        <v>13</v>
      </c>
      <c r="Y25" s="18">
        <v>0</v>
      </c>
      <c r="Z25" s="18"/>
      <c r="AA25" s="25"/>
    </row>
    <row r="26" spans="1:27" x14ac:dyDescent="0.25">
      <c r="A26" s="9" t="s">
        <v>15</v>
      </c>
      <c r="B26" s="29">
        <f>E25</f>
        <v>922.18532829495007</v>
      </c>
      <c r="C26" s="29">
        <f>B26*$C$24</f>
        <v>73.964722968619228</v>
      </c>
      <c r="D26" s="29">
        <f>D25</f>
        <v>-50</v>
      </c>
      <c r="E26" s="29">
        <f>SUM(B26:D26)</f>
        <v>946.15005126356925</v>
      </c>
      <c r="F26" s="39">
        <f>U29</f>
        <v>972.69060371619389</v>
      </c>
      <c r="G26" s="29">
        <f>F26-E26</f>
        <v>26.540552452624638</v>
      </c>
      <c r="H26" s="29">
        <f>G26-G25</f>
        <v>13.739024244373581</v>
      </c>
      <c r="J26"/>
      <c r="K26" s="1">
        <v>1</v>
      </c>
      <c r="L26" s="9" t="s">
        <v>15</v>
      </c>
      <c r="M26" s="18">
        <f>-D26</f>
        <v>50</v>
      </c>
      <c r="N26" s="17">
        <f>1/(1+N$22)^K26</f>
        <v>0.93023255813953487</v>
      </c>
      <c r="O26" s="25">
        <f>M26*N26</f>
        <v>46.511627906976742</v>
      </c>
      <c r="R26" s="9" t="s">
        <v>15</v>
      </c>
      <c r="S26" s="18">
        <f>-J26</f>
        <v>0</v>
      </c>
      <c r="T26" s="17"/>
      <c r="U26" s="25">
        <f>S26*T26</f>
        <v>0</v>
      </c>
      <c r="X26" s="9" t="s">
        <v>15</v>
      </c>
      <c r="Y26" s="18">
        <f>-P26</f>
        <v>0</v>
      </c>
      <c r="Z26" s="17"/>
      <c r="AA26" s="25">
        <f>Y26*Z26</f>
        <v>0</v>
      </c>
    </row>
    <row r="27" spans="1:27" x14ac:dyDescent="0.25">
      <c r="A27" s="9" t="s">
        <v>101</v>
      </c>
      <c r="B27" s="29">
        <f>E26</f>
        <v>946.15005126356925</v>
      </c>
      <c r="C27" s="29">
        <f t="shared" ref="C27:C28" si="0">B27*$C$24</f>
        <v>75.886835629716245</v>
      </c>
      <c r="D27" s="29">
        <f>D26</f>
        <v>-50</v>
      </c>
      <c r="E27" s="29">
        <f>SUM(B27:D27)</f>
        <v>972.03688689328555</v>
      </c>
      <c r="F27" s="41">
        <f>AA29</f>
        <v>990.56603773584891</v>
      </c>
      <c r="G27" s="29">
        <f t="shared" ref="G27:G28" si="1">F27-E27</f>
        <v>18.529150842563354</v>
      </c>
      <c r="H27" s="29">
        <f>G27-G26</f>
        <v>-8.0114016100612844</v>
      </c>
      <c r="J27"/>
      <c r="K27" s="1">
        <v>2</v>
      </c>
      <c r="L27" s="9" t="s">
        <v>101</v>
      </c>
      <c r="M27" s="18">
        <f>-D27</f>
        <v>50</v>
      </c>
      <c r="N27" s="17">
        <f>1/(1+N$22)^K27</f>
        <v>0.86533261222282321</v>
      </c>
      <c r="O27" s="25">
        <f t="shared" ref="O27:O28" si="2">M27*N27</f>
        <v>43.26663061114116</v>
      </c>
      <c r="Q27" s="1">
        <v>1</v>
      </c>
      <c r="R27" s="9" t="s">
        <v>101</v>
      </c>
      <c r="S27" s="18">
        <f>M27</f>
        <v>50</v>
      </c>
      <c r="T27" s="17">
        <f>1/(1+T$22)^Q27</f>
        <v>0.93896713615023475</v>
      </c>
      <c r="U27" s="25">
        <f t="shared" ref="U27:U28" si="3">S27*T27</f>
        <v>46.948356807511736</v>
      </c>
      <c r="X27" s="9" t="s">
        <v>101</v>
      </c>
      <c r="Y27" s="18"/>
      <c r="Z27" s="17"/>
      <c r="AA27" s="25">
        <f t="shared" ref="AA27:AA28" si="4">Y27*Z27</f>
        <v>0</v>
      </c>
    </row>
    <row r="28" spans="1:27" x14ac:dyDescent="0.25">
      <c r="A28" s="9" t="s">
        <v>106</v>
      </c>
      <c r="B28" s="29">
        <f>E27</f>
        <v>972.03688689328555</v>
      </c>
      <c r="C28" s="29">
        <f t="shared" si="0"/>
        <v>77.963113105770105</v>
      </c>
      <c r="D28" s="29">
        <f>-F17</f>
        <v>-1050</v>
      </c>
      <c r="E28" s="29">
        <f>ROUND(SUM(B28:D28),2)</f>
        <v>0</v>
      </c>
      <c r="F28" s="29">
        <v>0</v>
      </c>
      <c r="G28" s="29">
        <f t="shared" si="1"/>
        <v>0</v>
      </c>
      <c r="H28" s="29">
        <f>G28-G27</f>
        <v>-18.529150842563354</v>
      </c>
      <c r="K28" s="1">
        <v>3</v>
      </c>
      <c r="L28" s="9" t="s">
        <v>6</v>
      </c>
      <c r="M28" s="18">
        <f>-D28</f>
        <v>1050</v>
      </c>
      <c r="N28" s="17">
        <f>1/(1+N$22)^K28</f>
        <v>0.80496056950960304</v>
      </c>
      <c r="O28" s="25">
        <f t="shared" si="2"/>
        <v>845.2085979850832</v>
      </c>
      <c r="Q28" s="1">
        <v>2</v>
      </c>
      <c r="R28" s="9" t="s">
        <v>6</v>
      </c>
      <c r="S28" s="18">
        <f>M28</f>
        <v>1050</v>
      </c>
      <c r="T28" s="17">
        <f>1/(1+T$22)^Q28</f>
        <v>0.88165928277017358</v>
      </c>
      <c r="U28" s="25">
        <f t="shared" si="3"/>
        <v>925.7422469086822</v>
      </c>
      <c r="W28" s="1">
        <v>1</v>
      </c>
      <c r="X28" s="9" t="s">
        <v>6</v>
      </c>
      <c r="Y28" s="18">
        <f>S28</f>
        <v>1050</v>
      </c>
      <c r="Z28" s="17">
        <f>1/(1+Z$22)^W28</f>
        <v>0.94339622641509424</v>
      </c>
      <c r="AA28" s="25">
        <f t="shared" si="4"/>
        <v>990.56603773584891</v>
      </c>
    </row>
    <row r="29" spans="1:27" x14ac:dyDescent="0.25">
      <c r="A29" s="22"/>
      <c r="B29" s="22"/>
      <c r="C29" s="29">
        <f>SUM(C25:C28)</f>
        <v>299.99999999905566</v>
      </c>
      <c r="D29" s="29">
        <f>SUM(D25:D28)</f>
        <v>-1200</v>
      </c>
      <c r="E29" s="29"/>
      <c r="F29" s="29"/>
      <c r="G29" s="29"/>
      <c r="H29" s="29"/>
      <c r="O29" s="37">
        <f>SUM(O24:O28)</f>
        <v>934.98685650320112</v>
      </c>
      <c r="U29" s="40">
        <f>SUM(U24:U28)</f>
        <v>972.69060371619389</v>
      </c>
      <c r="AA29" s="42">
        <f>SUM(AA24:AA28)</f>
        <v>990.56603773584891</v>
      </c>
    </row>
    <row r="31" spans="1:27" hidden="1" x14ac:dyDescent="0.25"/>
    <row r="32" spans="1:27" x14ac:dyDescent="0.25">
      <c r="A32" s="24" t="s">
        <v>76</v>
      </c>
      <c r="B32" s="22"/>
      <c r="C32" s="22"/>
      <c r="D32" s="22"/>
      <c r="E32" s="22"/>
      <c r="F32" s="22"/>
    </row>
    <row r="33" spans="1:13" x14ac:dyDescent="0.25">
      <c r="A33" s="22"/>
      <c r="B33" s="22"/>
      <c r="C33" s="22"/>
      <c r="D33" s="22"/>
      <c r="E33" s="22"/>
      <c r="F33" s="22"/>
    </row>
    <row r="34" spans="1:13" x14ac:dyDescent="0.25">
      <c r="A34" s="25" t="s">
        <v>107</v>
      </c>
      <c r="B34" s="22"/>
      <c r="C34" s="9" t="s">
        <v>13</v>
      </c>
      <c r="D34" s="9" t="s">
        <v>15</v>
      </c>
      <c r="E34" s="9" t="s">
        <v>101</v>
      </c>
      <c r="F34" s="9" t="s">
        <v>106</v>
      </c>
      <c r="G34" s="25" t="s">
        <v>31</v>
      </c>
    </row>
    <row r="35" spans="1:13" x14ac:dyDescent="0.25">
      <c r="A35" s="25"/>
      <c r="B35" s="22"/>
      <c r="C35" s="25"/>
      <c r="D35" s="25"/>
      <c r="E35" s="25"/>
      <c r="F35" s="25"/>
      <c r="G35" s="25"/>
    </row>
    <row r="36" spans="1:13" x14ac:dyDescent="0.25">
      <c r="A36" s="25" t="s">
        <v>82</v>
      </c>
      <c r="B36" s="22"/>
      <c r="C36" s="25">
        <f>C25</f>
        <v>72.185328294950097</v>
      </c>
      <c r="D36" s="25">
        <f>C26</f>
        <v>73.964722968619228</v>
      </c>
      <c r="E36" s="25">
        <f>C27</f>
        <v>75.886835629716245</v>
      </c>
      <c r="F36" s="28">
        <f>C28</f>
        <v>77.963113105770105</v>
      </c>
      <c r="G36" s="31">
        <f>SUM(C36:F36)</f>
        <v>299.99999999905566</v>
      </c>
      <c r="J36" s="1" t="s">
        <v>108</v>
      </c>
      <c r="L36" s="1" t="s">
        <v>109</v>
      </c>
      <c r="M36" s="12">
        <f>SUM(F14:F17)</f>
        <v>1200</v>
      </c>
    </row>
    <row r="37" spans="1:13" x14ac:dyDescent="0.25">
      <c r="A37" s="25"/>
      <c r="B37" s="22"/>
      <c r="C37" s="25"/>
      <c r="D37" s="25"/>
      <c r="E37" s="25"/>
      <c r="F37" s="28"/>
      <c r="G37" s="28"/>
      <c r="J37" s="1" t="s">
        <v>95</v>
      </c>
      <c r="M37" s="30">
        <f>-B6</f>
        <v>-900</v>
      </c>
    </row>
    <row r="38" spans="1:13" x14ac:dyDescent="0.25">
      <c r="A38" s="26" t="s">
        <v>85</v>
      </c>
      <c r="B38" s="24"/>
      <c r="C38" s="26"/>
      <c r="D38" s="26"/>
      <c r="E38" s="26"/>
      <c r="F38" s="26"/>
      <c r="G38" s="26"/>
      <c r="J38" s="1" t="s">
        <v>86</v>
      </c>
      <c r="M38" s="12">
        <f>SUM(M36:M37)</f>
        <v>300</v>
      </c>
    </row>
    <row r="39" spans="1:13" ht="16.5" x14ac:dyDescent="0.35">
      <c r="A39" s="27" t="s">
        <v>87</v>
      </c>
      <c r="C39" s="9"/>
      <c r="D39" s="9"/>
      <c r="E39" s="9"/>
      <c r="F39" s="9"/>
      <c r="G39" s="9"/>
      <c r="J39" s="1" t="s">
        <v>34</v>
      </c>
      <c r="M39" s="12">
        <v>0</v>
      </c>
    </row>
    <row r="40" spans="1:13" ht="16.5" x14ac:dyDescent="0.35">
      <c r="A40" s="3" t="s">
        <v>44</v>
      </c>
      <c r="B40" s="3"/>
      <c r="C40" s="27"/>
      <c r="D40" s="27"/>
      <c r="E40" s="27"/>
      <c r="F40" s="27"/>
      <c r="G40" s="27"/>
      <c r="H40" s="3"/>
      <c r="I40" s="3"/>
      <c r="J40" s="1" t="s">
        <v>88</v>
      </c>
      <c r="M40" s="32">
        <f>SUM(M38:M39)</f>
        <v>300</v>
      </c>
    </row>
    <row r="41" spans="1:13" x14ac:dyDescent="0.25">
      <c r="A41" s="9" t="s">
        <v>119</v>
      </c>
      <c r="C41" s="29">
        <f>H25</f>
        <v>12.801528208251057</v>
      </c>
      <c r="D41" s="29">
        <f>H26</f>
        <v>13.739024244373581</v>
      </c>
      <c r="E41" s="29">
        <f>H27</f>
        <v>-8.0114016100612844</v>
      </c>
      <c r="F41" s="29">
        <f>H28</f>
        <v>-18.529150842563354</v>
      </c>
      <c r="G41" s="29">
        <f>SUM(C41:F41)</f>
        <v>0</v>
      </c>
    </row>
    <row r="42" spans="1:13" s="2" customFormat="1" x14ac:dyDescent="0.25">
      <c r="A42" s="9"/>
      <c r="B42" s="1"/>
      <c r="C42" s="9"/>
      <c r="D42" s="9"/>
      <c r="E42" s="9"/>
      <c r="F42" s="9"/>
      <c r="G42" s="9"/>
      <c r="H42" s="1"/>
      <c r="I42" s="1"/>
    </row>
    <row r="43" spans="1:13" x14ac:dyDescent="0.25">
      <c r="A43" s="8" t="s">
        <v>89</v>
      </c>
      <c r="B43" s="2"/>
      <c r="C43" s="8"/>
      <c r="D43" s="8"/>
      <c r="E43" s="8"/>
      <c r="F43" s="8"/>
      <c r="G43" s="8"/>
      <c r="H43" s="2"/>
      <c r="I43" s="2"/>
    </row>
    <row r="46" spans="1:13" x14ac:dyDescent="0.25">
      <c r="A46" s="25" t="s">
        <v>90</v>
      </c>
      <c r="B46" s="14" t="s">
        <v>6</v>
      </c>
      <c r="C46" s="9" t="s">
        <v>13</v>
      </c>
      <c r="D46" s="9" t="s">
        <v>15</v>
      </c>
      <c r="E46" s="9" t="s">
        <v>101</v>
      </c>
      <c r="F46" s="9" t="s">
        <v>6</v>
      </c>
    </row>
    <row r="47" spans="1:13" x14ac:dyDescent="0.25">
      <c r="A47" s="26" t="s">
        <v>40</v>
      </c>
      <c r="B47" s="25"/>
      <c r="C47" s="25"/>
      <c r="D47" s="25"/>
      <c r="E47" s="25"/>
      <c r="F47" s="25"/>
    </row>
    <row r="48" spans="1:13" x14ac:dyDescent="0.25">
      <c r="A48" s="25" t="s">
        <v>121</v>
      </c>
      <c r="B48" s="25">
        <f>B25</f>
        <v>900</v>
      </c>
      <c r="C48" s="38">
        <f>F25</f>
        <v>934.98685650320112</v>
      </c>
      <c r="D48" s="39">
        <f>F26</f>
        <v>972.69060371619389</v>
      </c>
      <c r="E48" s="41">
        <f>F27</f>
        <v>990.56603773584891</v>
      </c>
      <c r="F48" s="25">
        <f>E28</f>
        <v>0</v>
      </c>
    </row>
    <row r="49" spans="1:6" x14ac:dyDescent="0.25">
      <c r="A49" s="25"/>
      <c r="B49" s="25"/>
      <c r="C49" s="25"/>
      <c r="D49" s="25"/>
      <c r="E49" s="25"/>
      <c r="F49" s="25"/>
    </row>
    <row r="50" spans="1:6" x14ac:dyDescent="0.25">
      <c r="A50" s="9"/>
      <c r="B50" s="9"/>
      <c r="C50" s="9"/>
      <c r="D50" s="9"/>
      <c r="E50" s="9"/>
      <c r="F50" s="9"/>
    </row>
    <row r="51" spans="1:6" x14ac:dyDescent="0.25">
      <c r="A51" s="9" t="s">
        <v>47</v>
      </c>
      <c r="B51" s="9"/>
      <c r="C51" s="9"/>
      <c r="D51" s="9"/>
      <c r="E51" s="9"/>
      <c r="F51" s="9"/>
    </row>
    <row r="52" spans="1:6" x14ac:dyDescent="0.25">
      <c r="A52" s="9" t="s">
        <v>120</v>
      </c>
      <c r="B52" s="9"/>
      <c r="C52" s="9"/>
      <c r="D52" s="9"/>
      <c r="E52" s="9"/>
      <c r="F52" s="9"/>
    </row>
    <row r="53" spans="1:6" x14ac:dyDescent="0.25">
      <c r="A53" s="9" t="s">
        <v>49</v>
      </c>
      <c r="B53" s="9"/>
      <c r="C53" s="9"/>
      <c r="D53" s="9"/>
      <c r="E53" s="9"/>
      <c r="F53" s="9"/>
    </row>
    <row r="54" spans="1:6" x14ac:dyDescent="0.25">
      <c r="A54" s="9" t="s">
        <v>50</v>
      </c>
      <c r="B54" s="9"/>
      <c r="C54" s="25">
        <f>G25</f>
        <v>12.801528208251057</v>
      </c>
      <c r="D54" s="25">
        <f>G26</f>
        <v>26.540552452624638</v>
      </c>
      <c r="E54" s="25">
        <f>G27</f>
        <v>18.529150842563354</v>
      </c>
      <c r="F54" s="25">
        <v>0</v>
      </c>
    </row>
    <row r="55" spans="1:6" x14ac:dyDescent="0.25">
      <c r="A55" s="9"/>
      <c r="B55" s="9"/>
      <c r="C55" s="9"/>
      <c r="D55" s="9"/>
      <c r="E55" s="9"/>
      <c r="F55" s="9"/>
    </row>
    <row r="59" spans="1:6" x14ac:dyDescent="0.25">
      <c r="A59" s="1" t="s">
        <v>6</v>
      </c>
      <c r="B59" s="1" t="s">
        <v>179</v>
      </c>
      <c r="C59" s="1" t="s">
        <v>21</v>
      </c>
      <c r="D59" s="12">
        <f>B6</f>
        <v>900</v>
      </c>
    </row>
    <row r="60" spans="1:6" x14ac:dyDescent="0.25">
      <c r="B60" s="1" t="s">
        <v>180</v>
      </c>
      <c r="C60" s="1" t="s">
        <v>18</v>
      </c>
      <c r="D60" s="12">
        <f>D59</f>
        <v>900</v>
      </c>
    </row>
    <row r="61" spans="1:6" x14ac:dyDescent="0.25">
      <c r="D61" s="12"/>
    </row>
    <row r="62" spans="1:6" x14ac:dyDescent="0.25">
      <c r="A62" s="1" t="s">
        <v>181</v>
      </c>
      <c r="B62" s="1" t="s">
        <v>180</v>
      </c>
      <c r="C62" s="1" t="s">
        <v>18</v>
      </c>
      <c r="D62" s="12">
        <f>C25</f>
        <v>72.185328294950097</v>
      </c>
    </row>
    <row r="63" spans="1:6" x14ac:dyDescent="0.25">
      <c r="B63" s="1" t="s">
        <v>182</v>
      </c>
      <c r="C63" s="1" t="s">
        <v>21</v>
      </c>
      <c r="D63" s="12">
        <f>D62</f>
        <v>72.185328294950097</v>
      </c>
    </row>
    <row r="64" spans="1:6" x14ac:dyDescent="0.25">
      <c r="D64" s="12"/>
    </row>
    <row r="65" spans="1:6" x14ac:dyDescent="0.25">
      <c r="A65" s="1" t="s">
        <v>183</v>
      </c>
      <c r="B65" s="1" t="s">
        <v>20</v>
      </c>
      <c r="C65" s="1" t="s">
        <v>18</v>
      </c>
      <c r="D65" s="12">
        <f>F14</f>
        <v>50</v>
      </c>
    </row>
    <row r="66" spans="1:6" x14ac:dyDescent="0.25">
      <c r="B66" s="1" t="s">
        <v>180</v>
      </c>
      <c r="C66" s="1" t="s">
        <v>21</v>
      </c>
      <c r="D66" s="12">
        <f>D65</f>
        <v>50</v>
      </c>
    </row>
    <row r="67" spans="1:6" x14ac:dyDescent="0.25">
      <c r="D67" s="12"/>
    </row>
    <row r="68" spans="1:6" x14ac:dyDescent="0.25">
      <c r="A68" s="1" t="str">
        <f>A65</f>
        <v>On 30.6.2020</v>
      </c>
      <c r="B68" s="1" t="s">
        <v>180</v>
      </c>
      <c r="C68" s="1" t="s">
        <v>18</v>
      </c>
      <c r="D68" s="12">
        <f>H25</f>
        <v>12.801528208251057</v>
      </c>
    </row>
    <row r="69" spans="1:6" x14ac:dyDescent="0.25">
      <c r="B69" s="1" t="s">
        <v>50</v>
      </c>
      <c r="C69" s="1" t="s">
        <v>21</v>
      </c>
      <c r="D69" s="12">
        <f>D68</f>
        <v>12.801528208251057</v>
      </c>
      <c r="E69" s="1" t="s">
        <v>184</v>
      </c>
    </row>
    <row r="70" spans="1:6" x14ac:dyDescent="0.25">
      <c r="D70" s="12"/>
    </row>
    <row r="72" spans="1:6" x14ac:dyDescent="0.25">
      <c r="A72" s="1" t="s">
        <v>187</v>
      </c>
    </row>
    <row r="73" spans="1:6" x14ac:dyDescent="0.25">
      <c r="A73" s="1" t="s">
        <v>185</v>
      </c>
      <c r="B73" s="1" t="s">
        <v>188</v>
      </c>
      <c r="F73" s="12">
        <f>O29</f>
        <v>934.98685650320112</v>
      </c>
    </row>
    <row r="74" spans="1:6" x14ac:dyDescent="0.25">
      <c r="F74" s="12"/>
    </row>
    <row r="75" spans="1:6" x14ac:dyDescent="0.25">
      <c r="A75" s="1" t="s">
        <v>186</v>
      </c>
      <c r="B75" s="1" t="s">
        <v>189</v>
      </c>
    </row>
    <row r="76" spans="1:6" x14ac:dyDescent="0.25">
      <c r="B76" s="1" t="s">
        <v>190</v>
      </c>
      <c r="F76" s="1">
        <v>940</v>
      </c>
    </row>
    <row r="77" spans="1:6" x14ac:dyDescent="0.25">
      <c r="B77" s="1" t="s">
        <v>191</v>
      </c>
      <c r="D77" s="1" t="s">
        <v>192</v>
      </c>
      <c r="F77" s="1">
        <f>50*3/6</f>
        <v>25</v>
      </c>
    </row>
    <row r="78" spans="1:6" x14ac:dyDescent="0.25">
      <c r="B78" s="1" t="s">
        <v>186</v>
      </c>
      <c r="F78" s="1">
        <f>F76+F77</f>
        <v>965</v>
      </c>
    </row>
  </sheetData>
  <mergeCells count="7">
    <mergeCell ref="H23:H24"/>
    <mergeCell ref="G23:G24"/>
    <mergeCell ref="A23:A24"/>
    <mergeCell ref="B23:B24"/>
    <mergeCell ref="D23:D24"/>
    <mergeCell ref="E23:E24"/>
    <mergeCell ref="F23:F2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5"/>
  <sheetViews>
    <sheetView workbookViewId="0">
      <selection sqref="A1:XFD1048576"/>
    </sheetView>
  </sheetViews>
  <sheetFormatPr defaultColWidth="9.28515625" defaultRowHeight="15" x14ac:dyDescent="0.25"/>
  <cols>
    <col min="1" max="1" width="29.28515625" style="1" customWidth="1"/>
    <col min="2" max="2" width="9.28515625" style="1"/>
    <col min="3" max="3" width="9.7109375" style="1" customWidth="1"/>
    <col min="4" max="4" width="13.28515625" style="1" customWidth="1"/>
    <col min="5" max="5" width="11.140625" style="1" customWidth="1"/>
    <col min="6" max="6" width="10.28515625" style="1" bestFit="1" customWidth="1"/>
    <col min="7" max="7" width="11.85546875" style="1" customWidth="1"/>
    <col min="8" max="8" width="11.7109375" style="1" customWidth="1"/>
    <col min="9" max="9" width="9.28515625" style="1"/>
    <col min="10" max="10" width="10.28515625" style="1" customWidth="1"/>
    <col min="11" max="11" width="6.7109375" style="1" customWidth="1"/>
    <col min="12" max="12" width="13.7109375" style="1" customWidth="1"/>
    <col min="13" max="13" width="10.7109375" style="1" customWidth="1"/>
    <col min="14" max="17" width="9.28515625" style="1"/>
    <col min="18" max="18" width="12.140625" style="1" customWidth="1"/>
    <col min="19" max="23" width="9.28515625" style="1"/>
    <col min="24" max="24" width="10.7109375" style="1" customWidth="1"/>
    <col min="25" max="25" width="11.140625" style="1" customWidth="1"/>
    <col min="26" max="16384" width="9.28515625" style="1"/>
  </cols>
  <sheetData>
    <row r="2" spans="1:6" x14ac:dyDescent="0.25">
      <c r="A2" s="2" t="s">
        <v>136</v>
      </c>
    </row>
    <row r="4" spans="1:6" x14ac:dyDescent="0.25">
      <c r="A4" s="2" t="s">
        <v>51</v>
      </c>
    </row>
    <row r="5" spans="1:6" x14ac:dyDescent="0.25">
      <c r="A5" s="9" t="s">
        <v>94</v>
      </c>
      <c r="B5" s="9" t="s">
        <v>6</v>
      </c>
      <c r="C5" s="9"/>
    </row>
    <row r="6" spans="1:6" x14ac:dyDescent="0.25">
      <c r="A6" s="9" t="s">
        <v>95</v>
      </c>
      <c r="B6" s="9">
        <v>900</v>
      </c>
      <c r="C6" s="9"/>
    </row>
    <row r="7" spans="1:6" x14ac:dyDescent="0.25">
      <c r="A7" s="9" t="s">
        <v>96</v>
      </c>
      <c r="B7" s="9">
        <v>1000</v>
      </c>
      <c r="C7" s="9"/>
    </row>
    <row r="8" spans="1:6" x14ac:dyDescent="0.25">
      <c r="A8" s="9" t="s">
        <v>97</v>
      </c>
      <c r="B8" s="16">
        <v>0.1</v>
      </c>
      <c r="C8" s="9" t="s">
        <v>98</v>
      </c>
    </row>
    <row r="9" spans="1:6" x14ac:dyDescent="0.25">
      <c r="A9" s="9" t="s">
        <v>99</v>
      </c>
      <c r="B9" s="9" t="s">
        <v>100</v>
      </c>
      <c r="C9" s="9"/>
    </row>
    <row r="11" spans="1:6" x14ac:dyDescent="0.25">
      <c r="A11" s="19"/>
      <c r="B11" s="19"/>
      <c r="C11" s="19"/>
    </row>
    <row r="12" spans="1:6" x14ac:dyDescent="0.25">
      <c r="A12" s="20" t="s">
        <v>66</v>
      </c>
      <c r="B12" s="19"/>
      <c r="E12" s="8" t="s">
        <v>56</v>
      </c>
      <c r="F12" s="8" t="s">
        <v>53</v>
      </c>
    </row>
    <row r="13" spans="1:6" x14ac:dyDescent="0.25">
      <c r="A13" s="1" t="s">
        <v>67</v>
      </c>
      <c r="E13" s="14" t="s">
        <v>6</v>
      </c>
      <c r="F13" s="9">
        <v>-900</v>
      </c>
    </row>
    <row r="14" spans="1:6" x14ac:dyDescent="0.25">
      <c r="A14" s="1" t="s">
        <v>68</v>
      </c>
      <c r="E14" s="9" t="s">
        <v>13</v>
      </c>
      <c r="F14" s="18">
        <f>B7*B8/2</f>
        <v>50</v>
      </c>
    </row>
    <row r="15" spans="1:6" x14ac:dyDescent="0.25">
      <c r="E15" s="9" t="s">
        <v>15</v>
      </c>
      <c r="F15" s="18">
        <f>F14</f>
        <v>50</v>
      </c>
    </row>
    <row r="16" spans="1:6" x14ac:dyDescent="0.25">
      <c r="A16" s="9" t="s">
        <v>69</v>
      </c>
      <c r="B16" s="15">
        <f>F19</f>
        <v>0.16041184065544467</v>
      </c>
      <c r="E16" s="9" t="s">
        <v>101</v>
      </c>
      <c r="F16" s="18">
        <f>F15</f>
        <v>50</v>
      </c>
    </row>
    <row r="17" spans="1:27" x14ac:dyDescent="0.25">
      <c r="E17" s="9" t="s">
        <v>6</v>
      </c>
      <c r="F17" s="18">
        <f>F16+B7</f>
        <v>1050</v>
      </c>
    </row>
    <row r="18" spans="1:27" x14ac:dyDescent="0.25">
      <c r="E18" s="8"/>
      <c r="F18" s="33">
        <f>IRR(F13:F17)</f>
        <v>8.0205920327722335E-2</v>
      </c>
      <c r="G18" s="1" t="s">
        <v>102</v>
      </c>
    </row>
    <row r="19" spans="1:27" x14ac:dyDescent="0.25">
      <c r="E19" s="20"/>
      <c r="F19" s="13">
        <f>F18*2</f>
        <v>0.16041184065544467</v>
      </c>
      <c r="G19" s="1" t="s">
        <v>103</v>
      </c>
    </row>
    <row r="20" spans="1:27" x14ac:dyDescent="0.25">
      <c r="E20" s="20"/>
      <c r="F20" s="34"/>
    </row>
    <row r="21" spans="1:27" x14ac:dyDescent="0.25">
      <c r="A21" s="2" t="s">
        <v>104</v>
      </c>
      <c r="N21" s="36">
        <v>0.15</v>
      </c>
      <c r="O21" s="36"/>
      <c r="T21" s="36">
        <v>0.13</v>
      </c>
      <c r="U21" s="36"/>
      <c r="Z21" s="36">
        <v>0.12</v>
      </c>
      <c r="AA21" s="36"/>
    </row>
    <row r="22" spans="1:27" x14ac:dyDescent="0.25">
      <c r="L22" s="1" t="s">
        <v>111</v>
      </c>
      <c r="N22" s="36">
        <f>N21/2</f>
        <v>7.4999999999999997E-2</v>
      </c>
      <c r="O22" s="36"/>
      <c r="R22" s="1" t="s">
        <v>115</v>
      </c>
      <c r="T22" s="36">
        <f>T21/2</f>
        <v>6.5000000000000002E-2</v>
      </c>
      <c r="U22" s="36"/>
      <c r="X22" s="1" t="s">
        <v>118</v>
      </c>
      <c r="Z22" s="36">
        <f>Z21/2</f>
        <v>0.06</v>
      </c>
      <c r="AA22" s="36"/>
    </row>
    <row r="23" spans="1:27" ht="57.75" x14ac:dyDescent="0.25">
      <c r="A23" s="52" t="s">
        <v>105</v>
      </c>
      <c r="B23" s="52" t="s">
        <v>72</v>
      </c>
      <c r="C23" s="21" t="s">
        <v>73</v>
      </c>
      <c r="D23" s="52" t="s">
        <v>74</v>
      </c>
      <c r="E23" s="52" t="s">
        <v>75</v>
      </c>
      <c r="F23" s="52" t="s">
        <v>112</v>
      </c>
      <c r="G23" s="52" t="s">
        <v>116</v>
      </c>
      <c r="H23" s="52" t="s">
        <v>117</v>
      </c>
      <c r="L23" s="8" t="s">
        <v>56</v>
      </c>
      <c r="M23" s="8" t="s">
        <v>53</v>
      </c>
      <c r="N23" s="35" t="s">
        <v>113</v>
      </c>
      <c r="O23" s="35" t="s">
        <v>114</v>
      </c>
      <c r="R23" s="8" t="s">
        <v>56</v>
      </c>
      <c r="S23" s="8" t="s">
        <v>53</v>
      </c>
      <c r="T23" s="35" t="s">
        <v>113</v>
      </c>
      <c r="U23" s="35" t="s">
        <v>114</v>
      </c>
      <c r="X23" s="8" t="s">
        <v>56</v>
      </c>
      <c r="Y23" s="8" t="s">
        <v>53</v>
      </c>
      <c r="Z23" s="35" t="s">
        <v>113</v>
      </c>
      <c r="AA23" s="35" t="s">
        <v>114</v>
      </c>
    </row>
    <row r="24" spans="1:27" x14ac:dyDescent="0.25">
      <c r="A24" s="52"/>
      <c r="B24" s="52"/>
      <c r="C24" s="23">
        <f>F18</f>
        <v>8.0205920327722335E-2</v>
      </c>
      <c r="D24" s="52"/>
      <c r="E24" s="52"/>
      <c r="F24" s="52"/>
      <c r="G24" s="52"/>
      <c r="H24" s="52"/>
      <c r="L24" s="14" t="s">
        <v>6</v>
      </c>
      <c r="M24" s="9">
        <v>0</v>
      </c>
      <c r="N24" s="9"/>
      <c r="O24" s="25"/>
      <c r="R24" s="14" t="s">
        <v>6</v>
      </c>
      <c r="S24" s="9">
        <v>0</v>
      </c>
      <c r="T24" s="9"/>
      <c r="U24" s="25"/>
      <c r="X24" s="14" t="s">
        <v>6</v>
      </c>
      <c r="Y24" s="9">
        <v>0</v>
      </c>
      <c r="Z24" s="9"/>
      <c r="AA24" s="25"/>
    </row>
    <row r="25" spans="1:27" x14ac:dyDescent="0.25">
      <c r="A25" s="9" t="s">
        <v>13</v>
      </c>
      <c r="B25" s="9">
        <f>B6</f>
        <v>900</v>
      </c>
      <c r="C25" s="29">
        <f>B25*$C$24</f>
        <v>72.185328294950097</v>
      </c>
      <c r="D25" s="29">
        <f>-F14</f>
        <v>-50</v>
      </c>
      <c r="E25" s="29">
        <f>SUM(B25:D25)</f>
        <v>922.18532829495007</v>
      </c>
      <c r="F25" s="38">
        <f>O29</f>
        <v>934.98685650320112</v>
      </c>
      <c r="G25" s="29">
        <f>F25-E25</f>
        <v>12.801528208251057</v>
      </c>
      <c r="H25" s="29">
        <f>G25</f>
        <v>12.801528208251057</v>
      </c>
      <c r="L25" s="9" t="s">
        <v>13</v>
      </c>
      <c r="M25" s="18">
        <v>0</v>
      </c>
      <c r="N25" s="18"/>
      <c r="O25" s="25"/>
      <c r="R25" s="9" t="s">
        <v>13</v>
      </c>
      <c r="S25" s="18">
        <v>0</v>
      </c>
      <c r="T25" s="18"/>
      <c r="U25" s="25"/>
      <c r="X25" s="9" t="s">
        <v>13</v>
      </c>
      <c r="Y25" s="18">
        <v>0</v>
      </c>
      <c r="Z25" s="18"/>
      <c r="AA25" s="25"/>
    </row>
    <row r="26" spans="1:27" x14ac:dyDescent="0.25">
      <c r="A26" s="9" t="s">
        <v>15</v>
      </c>
      <c r="B26" s="9">
        <f>E25</f>
        <v>922.18532829495007</v>
      </c>
      <c r="C26" s="29">
        <f t="shared" ref="C26:C28" si="0">B26*$C$24</f>
        <v>73.964722968619228</v>
      </c>
      <c r="D26" s="29">
        <f>D25</f>
        <v>-50</v>
      </c>
      <c r="E26" s="29">
        <f>SUM(B26:D26)</f>
        <v>946.15005126356925</v>
      </c>
      <c r="F26" s="39">
        <f>U29</f>
        <v>972.69060371619389</v>
      </c>
      <c r="G26" s="29">
        <f t="shared" ref="G26:G28" si="1">F26-E26</f>
        <v>26.540552452624638</v>
      </c>
      <c r="H26" s="29">
        <f>G26-G25</f>
        <v>13.739024244373581</v>
      </c>
      <c r="K26" s="1">
        <v>1</v>
      </c>
      <c r="L26" s="9" t="s">
        <v>15</v>
      </c>
      <c r="M26" s="18">
        <f>-D26</f>
        <v>50</v>
      </c>
      <c r="N26" s="17">
        <f>1/(1+N$22)^K26</f>
        <v>0.93023255813953487</v>
      </c>
      <c r="O26" s="25">
        <f>M26*N26</f>
        <v>46.511627906976742</v>
      </c>
      <c r="R26" s="9" t="s">
        <v>15</v>
      </c>
      <c r="S26" s="18">
        <f>-J26</f>
        <v>0</v>
      </c>
      <c r="T26" s="17"/>
      <c r="U26" s="25">
        <f>S26*T26</f>
        <v>0</v>
      </c>
      <c r="X26" s="9" t="s">
        <v>15</v>
      </c>
      <c r="Y26" s="18">
        <f>-P26</f>
        <v>0</v>
      </c>
      <c r="Z26" s="17"/>
      <c r="AA26" s="25">
        <f>Y26*Z26</f>
        <v>0</v>
      </c>
    </row>
    <row r="27" spans="1:27" x14ac:dyDescent="0.25">
      <c r="A27" s="9" t="s">
        <v>101</v>
      </c>
      <c r="B27" s="51">
        <f>E26</f>
        <v>946.15005126356925</v>
      </c>
      <c r="C27" s="29">
        <f t="shared" si="0"/>
        <v>75.886835629716245</v>
      </c>
      <c r="D27" s="29">
        <f>D26</f>
        <v>-50</v>
      </c>
      <c r="E27" s="29">
        <f>SUM(B27:D27)</f>
        <v>972.03688689328555</v>
      </c>
      <c r="F27" s="41">
        <f>AA29</f>
        <v>990.56603773584891</v>
      </c>
      <c r="G27" s="29">
        <f t="shared" si="1"/>
        <v>18.529150842563354</v>
      </c>
      <c r="H27" s="29">
        <f>G27-G26</f>
        <v>-8.0114016100612844</v>
      </c>
      <c r="K27" s="1">
        <v>2</v>
      </c>
      <c r="L27" s="9" t="s">
        <v>101</v>
      </c>
      <c r="M27" s="18">
        <f>-D27</f>
        <v>50</v>
      </c>
      <c r="N27" s="17">
        <f>1/(1+N$22)^K27</f>
        <v>0.86533261222282321</v>
      </c>
      <c r="O27" s="25">
        <f t="shared" ref="O27:O28" si="2">M27*N27</f>
        <v>43.26663061114116</v>
      </c>
      <c r="Q27" s="1">
        <v>1</v>
      </c>
      <c r="R27" s="9" t="s">
        <v>101</v>
      </c>
      <c r="S27" s="18">
        <f>M27</f>
        <v>50</v>
      </c>
      <c r="T27" s="17">
        <f>1/(1+T$22)^Q27</f>
        <v>0.93896713615023475</v>
      </c>
      <c r="U27" s="25">
        <f t="shared" ref="U27:U28" si="3">S27*T27</f>
        <v>46.948356807511736</v>
      </c>
      <c r="X27" s="9" t="s">
        <v>101</v>
      </c>
      <c r="Y27" s="18"/>
      <c r="Z27" s="17"/>
      <c r="AA27" s="25">
        <f t="shared" ref="AA27:AA28" si="4">Y27*Z27</f>
        <v>0</v>
      </c>
    </row>
    <row r="28" spans="1:27" x14ac:dyDescent="0.25">
      <c r="A28" s="9" t="s">
        <v>106</v>
      </c>
      <c r="B28" s="9">
        <f>E27</f>
        <v>972.03688689328555</v>
      </c>
      <c r="C28" s="29">
        <f t="shared" si="0"/>
        <v>77.963113105770105</v>
      </c>
      <c r="D28" s="29">
        <f>-F17</f>
        <v>-1050</v>
      </c>
      <c r="E28" s="29">
        <f>ROUND(SUM(B28:D28),2)</f>
        <v>0</v>
      </c>
      <c r="F28" s="29">
        <v>0</v>
      </c>
      <c r="G28" s="29">
        <f t="shared" si="1"/>
        <v>0</v>
      </c>
      <c r="H28" s="29">
        <f>G28-G27</f>
        <v>-18.529150842563354</v>
      </c>
      <c r="K28" s="1">
        <v>3</v>
      </c>
      <c r="L28" s="9" t="s">
        <v>6</v>
      </c>
      <c r="M28" s="18">
        <f>-D28</f>
        <v>1050</v>
      </c>
      <c r="N28" s="17">
        <f>1/(1+N$22)^K28</f>
        <v>0.80496056950960304</v>
      </c>
      <c r="O28" s="25">
        <f t="shared" si="2"/>
        <v>845.2085979850832</v>
      </c>
      <c r="Q28" s="1">
        <v>2</v>
      </c>
      <c r="R28" s="9" t="s">
        <v>6</v>
      </c>
      <c r="S28" s="18">
        <f>M28</f>
        <v>1050</v>
      </c>
      <c r="T28" s="17">
        <f>1/(1+T$22)^Q28</f>
        <v>0.88165928277017358</v>
      </c>
      <c r="U28" s="25">
        <f t="shared" si="3"/>
        <v>925.7422469086822</v>
      </c>
      <c r="W28" s="1">
        <v>1</v>
      </c>
      <c r="X28" s="9" t="s">
        <v>6</v>
      </c>
      <c r="Y28" s="18">
        <f>S28</f>
        <v>1050</v>
      </c>
      <c r="Z28" s="17">
        <f>1/(1+Z$22)^W28</f>
        <v>0.94339622641509424</v>
      </c>
      <c r="AA28" s="25">
        <f t="shared" si="4"/>
        <v>990.56603773584891</v>
      </c>
    </row>
    <row r="29" spans="1:27" x14ac:dyDescent="0.25">
      <c r="A29" s="22"/>
      <c r="B29" s="22"/>
      <c r="C29" s="29">
        <f>SUM(C25:C28)</f>
        <v>299.99999999905566</v>
      </c>
      <c r="D29" s="29">
        <f>SUM(D25:D28)</f>
        <v>-1200</v>
      </c>
      <c r="E29" s="29"/>
      <c r="F29" s="29"/>
      <c r="G29" s="29"/>
      <c r="H29" s="29"/>
      <c r="O29" s="37">
        <f>SUM(O24:O28)</f>
        <v>934.98685650320112</v>
      </c>
      <c r="U29" s="40">
        <f>SUM(U24:U28)</f>
        <v>972.69060371619389</v>
      </c>
      <c r="AA29" s="42">
        <f>SUM(AA24:AA28)</f>
        <v>990.56603773584891</v>
      </c>
    </row>
    <row r="31" spans="1:27" x14ac:dyDescent="0.25">
      <c r="D31" s="12"/>
      <c r="F31" s="22"/>
    </row>
    <row r="32" spans="1:27" x14ac:dyDescent="0.25">
      <c r="A32" s="24" t="s">
        <v>76</v>
      </c>
      <c r="B32" s="22"/>
      <c r="C32" s="22"/>
      <c r="D32" s="22"/>
      <c r="E32" s="22"/>
      <c r="F32" s="22"/>
      <c r="G32" s="12"/>
    </row>
    <row r="33" spans="1:13" x14ac:dyDescent="0.25">
      <c r="A33" s="22"/>
      <c r="B33" s="22"/>
      <c r="C33" s="22"/>
      <c r="D33" s="22"/>
      <c r="E33" s="22"/>
      <c r="F33" s="22"/>
    </row>
    <row r="34" spans="1:13" x14ac:dyDescent="0.25">
      <c r="A34" s="25" t="s">
        <v>107</v>
      </c>
      <c r="B34" s="22"/>
      <c r="C34" s="9" t="s">
        <v>13</v>
      </c>
      <c r="D34" s="9" t="s">
        <v>15</v>
      </c>
      <c r="E34" s="9" t="s">
        <v>101</v>
      </c>
      <c r="F34" s="9" t="s">
        <v>106</v>
      </c>
      <c r="G34" s="25" t="s">
        <v>31</v>
      </c>
    </row>
    <row r="35" spans="1:13" x14ac:dyDescent="0.25">
      <c r="A35" s="25"/>
      <c r="B35" s="22"/>
      <c r="C35" s="25"/>
      <c r="D35" s="25"/>
      <c r="E35" s="25"/>
      <c r="F35" s="25"/>
      <c r="G35" s="25"/>
    </row>
    <row r="36" spans="1:13" x14ac:dyDescent="0.25">
      <c r="A36" s="25" t="s">
        <v>82</v>
      </c>
      <c r="B36" s="22"/>
      <c r="C36" s="25">
        <f>C25</f>
        <v>72.185328294950097</v>
      </c>
      <c r="D36" s="25">
        <f>C26</f>
        <v>73.964722968619228</v>
      </c>
      <c r="E36" s="25">
        <f>C27</f>
        <v>75.886835629716245</v>
      </c>
      <c r="F36" s="28">
        <f>C28</f>
        <v>77.963113105770105</v>
      </c>
      <c r="G36" s="31">
        <f>SUM(C36:F36)</f>
        <v>299.99999999905566</v>
      </c>
    </row>
    <row r="37" spans="1:13" x14ac:dyDescent="0.25">
      <c r="A37" s="48" t="s">
        <v>119</v>
      </c>
      <c r="B37" s="49"/>
      <c r="C37" s="50">
        <f>H25</f>
        <v>12.801528208251057</v>
      </c>
      <c r="D37" s="50">
        <f>H26</f>
        <v>13.739024244373581</v>
      </c>
      <c r="E37" s="50">
        <f>H27</f>
        <v>-8.0114016100612844</v>
      </c>
      <c r="F37" s="50">
        <f>H28</f>
        <v>-18.529150842563354</v>
      </c>
      <c r="G37" s="50">
        <f>SUM(C37:F37)</f>
        <v>0</v>
      </c>
      <c r="J37" s="1" t="s">
        <v>108</v>
      </c>
      <c r="L37" s="1" t="s">
        <v>109</v>
      </c>
      <c r="M37" s="12">
        <f>SUM(F14:F17)</f>
        <v>1200</v>
      </c>
    </row>
    <row r="38" spans="1:13" x14ac:dyDescent="0.25">
      <c r="A38" s="25"/>
      <c r="B38" s="22"/>
      <c r="C38" s="25"/>
      <c r="D38" s="25"/>
      <c r="E38" s="25"/>
      <c r="F38" s="28"/>
      <c r="G38" s="28"/>
      <c r="J38" s="1" t="s">
        <v>95</v>
      </c>
      <c r="M38" s="30">
        <f>-B6</f>
        <v>-900</v>
      </c>
    </row>
    <row r="39" spans="1:13" x14ac:dyDescent="0.25">
      <c r="A39" s="26" t="s">
        <v>85</v>
      </c>
      <c r="B39" s="24"/>
      <c r="C39" s="26">
        <f>SUM(C36:C38)</f>
        <v>84.986856503201153</v>
      </c>
      <c r="D39" s="26">
        <f>SUM(D36:D38)</f>
        <v>87.703747212992809</v>
      </c>
      <c r="E39" s="26">
        <f>SUM(E36:E38)</f>
        <v>67.875434019654961</v>
      </c>
      <c r="F39" s="26">
        <f>SUM(F36:F38)</f>
        <v>59.433962263206752</v>
      </c>
      <c r="G39" s="26"/>
      <c r="J39" s="1" t="s">
        <v>86</v>
      </c>
      <c r="M39" s="12">
        <f>SUM(M37:M38)</f>
        <v>300</v>
      </c>
    </row>
    <row r="40" spans="1:13" ht="16.5" x14ac:dyDescent="0.35">
      <c r="A40" s="27" t="s">
        <v>87</v>
      </c>
      <c r="C40" s="9"/>
      <c r="D40" s="9"/>
      <c r="E40" s="9"/>
      <c r="F40" s="9"/>
      <c r="G40" s="9"/>
      <c r="J40" s="1" t="s">
        <v>34</v>
      </c>
      <c r="M40" s="12">
        <v>0</v>
      </c>
    </row>
    <row r="41" spans="1:13" ht="17.25" thickBot="1" x14ac:dyDescent="0.4">
      <c r="A41" s="3" t="s">
        <v>44</v>
      </c>
      <c r="B41" s="3"/>
      <c r="C41" s="27"/>
      <c r="D41" s="27"/>
      <c r="E41" s="27"/>
      <c r="F41" s="27"/>
      <c r="G41" s="27"/>
      <c r="H41" s="3"/>
      <c r="I41" s="3"/>
      <c r="J41" s="1" t="s">
        <v>88</v>
      </c>
      <c r="M41" s="32">
        <f>SUM(M39:M40)</f>
        <v>300</v>
      </c>
    </row>
    <row r="42" spans="1:13" s="2" customFormat="1" ht="15.75" thickTop="1" x14ac:dyDescent="0.25">
      <c r="A42" s="9"/>
      <c r="B42" s="1"/>
      <c r="C42" s="9"/>
      <c r="D42" s="9"/>
      <c r="E42" s="9"/>
      <c r="F42" s="9"/>
      <c r="G42" s="9"/>
      <c r="H42" s="1"/>
      <c r="I42" s="1"/>
    </row>
    <row r="43" spans="1:13" x14ac:dyDescent="0.25">
      <c r="A43" s="8" t="s">
        <v>89</v>
      </c>
      <c r="B43" s="2"/>
      <c r="C43" s="8"/>
      <c r="D43" s="8"/>
      <c r="E43" s="8"/>
      <c r="F43" s="8"/>
      <c r="G43" s="8"/>
      <c r="H43" s="2"/>
      <c r="I43" s="2"/>
    </row>
    <row r="46" spans="1:13" x14ac:dyDescent="0.25">
      <c r="A46" s="25" t="s">
        <v>90</v>
      </c>
      <c r="B46" s="14" t="s">
        <v>6</v>
      </c>
      <c r="C46" s="9" t="s">
        <v>13</v>
      </c>
      <c r="D46" s="9" t="s">
        <v>15</v>
      </c>
      <c r="E46" s="9" t="s">
        <v>101</v>
      </c>
      <c r="F46" s="9" t="s">
        <v>6</v>
      </c>
    </row>
    <row r="47" spans="1:13" x14ac:dyDescent="0.25">
      <c r="A47" s="26" t="s">
        <v>40</v>
      </c>
      <c r="B47" s="25"/>
      <c r="C47" s="25"/>
      <c r="D47" s="25"/>
      <c r="E47" s="25"/>
      <c r="F47" s="25"/>
    </row>
    <row r="48" spans="1:13" x14ac:dyDescent="0.25">
      <c r="A48" s="25" t="s">
        <v>121</v>
      </c>
      <c r="B48" s="25">
        <f>B25</f>
        <v>900</v>
      </c>
      <c r="C48" s="38">
        <f>F25</f>
        <v>934.98685650320112</v>
      </c>
      <c r="D48" s="39">
        <f>F26</f>
        <v>972.69060371619389</v>
      </c>
      <c r="E48" s="41">
        <f>F27</f>
        <v>990.56603773584891</v>
      </c>
      <c r="F48" s="25">
        <f>E28</f>
        <v>0</v>
      </c>
    </row>
    <row r="49" spans="1:6" x14ac:dyDescent="0.25">
      <c r="A49" s="25"/>
      <c r="B49" s="25"/>
      <c r="C49" s="25"/>
      <c r="D49" s="25"/>
      <c r="E49" s="25"/>
      <c r="F49" s="25"/>
    </row>
    <row r="50" spans="1:6" x14ac:dyDescent="0.25">
      <c r="A50" s="9"/>
      <c r="B50" s="9"/>
      <c r="C50" s="9"/>
      <c r="D50" s="9"/>
      <c r="E50" s="9"/>
      <c r="F50" s="9"/>
    </row>
    <row r="51" spans="1:6" x14ac:dyDescent="0.25">
      <c r="A51" s="9" t="s">
        <v>47</v>
      </c>
      <c r="B51" s="9"/>
      <c r="C51" s="9"/>
      <c r="D51" s="9"/>
      <c r="E51" s="9"/>
      <c r="F51" s="9"/>
    </row>
    <row r="52" spans="1:6" x14ac:dyDescent="0.25">
      <c r="A52" s="9" t="s">
        <v>120</v>
      </c>
      <c r="B52" s="9"/>
      <c r="C52" s="9"/>
      <c r="D52" s="9"/>
      <c r="E52" s="9"/>
      <c r="F52" s="9"/>
    </row>
    <row r="53" spans="1:6" x14ac:dyDescent="0.25">
      <c r="A53" s="9" t="s">
        <v>49</v>
      </c>
      <c r="B53" s="9"/>
      <c r="C53" s="9"/>
      <c r="D53" s="9"/>
      <c r="E53" s="9"/>
      <c r="F53" s="9"/>
    </row>
    <row r="54" spans="1:6" x14ac:dyDescent="0.25">
      <c r="A54" s="9" t="s">
        <v>50</v>
      </c>
      <c r="B54" s="9"/>
      <c r="C54" s="25"/>
      <c r="D54" s="25"/>
      <c r="E54" s="25"/>
      <c r="F54" s="25"/>
    </row>
    <row r="55" spans="1:6" x14ac:dyDescent="0.25">
      <c r="A55" s="9"/>
      <c r="B55" s="9"/>
      <c r="C55" s="9"/>
      <c r="D55" s="9"/>
      <c r="E55" s="9"/>
      <c r="F55" s="9"/>
    </row>
  </sheetData>
  <mergeCells count="7">
    <mergeCell ref="H23:H24"/>
    <mergeCell ref="A23:A24"/>
    <mergeCell ref="B23:B24"/>
    <mergeCell ref="D23:D24"/>
    <mergeCell ref="E23:E24"/>
    <mergeCell ref="F23:F24"/>
    <mergeCell ref="G23:G2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D91AC024EF647973284C800D30014" ma:contentTypeVersion="7" ma:contentTypeDescription="Create a new document." ma:contentTypeScope="" ma:versionID="970393cb6b53b3dfdf150e5dfc2cfac1">
  <xsd:schema xmlns:xsd="http://www.w3.org/2001/XMLSchema" xmlns:xs="http://www.w3.org/2001/XMLSchema" xmlns:p="http://schemas.microsoft.com/office/2006/metadata/properties" xmlns:ns2="b7ad174b-ed6a-4dd6-8157-44fc4a505f10" targetNamespace="http://schemas.microsoft.com/office/2006/metadata/properties" ma:root="true" ma:fieldsID="51d5012c362384dfc7258b04016305e4" ns2:_="">
    <xsd:import namespace="b7ad174b-ed6a-4dd6-8157-44fc4a505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d174b-ed6a-4dd6-8157-44fc4a505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C79343-3F71-4AF0-91E5-B3AC2637EB0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7ad174b-ed6a-4dd6-8157-44fc4a505f1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23373C-4C29-40C6-AF2F-413E92F638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E39790-F0D5-4451-A0B7-5950B0A0AB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d174b-ed6a-4dd6-8157-44fc4a505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Equity Inv -FVTPL</vt:lpstr>
      <vt:lpstr>2. Equity Inv -FVTOCI</vt:lpstr>
      <vt:lpstr>3. Debt ins. FA @ amrtzed cost</vt:lpstr>
      <vt:lpstr>4. Debt ins. amtzd cost-T.bnd</vt:lpstr>
      <vt:lpstr>5. Debt ins. FVTOCI cost-T.b</vt:lpstr>
      <vt:lpstr>6. Debt ins. FVTP&amp;L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Imraz Iqbal</dc:creator>
  <cp:keywords/>
  <dc:description/>
  <cp:lastModifiedBy>System Division</cp:lastModifiedBy>
  <cp:revision/>
  <dcterms:created xsi:type="dcterms:W3CDTF">2021-02-15T10:37:37Z</dcterms:created>
  <dcterms:modified xsi:type="dcterms:W3CDTF">2022-04-29T07:37:48Z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0x010100EB0D91AC024EF647973284C800D30014</vt:lpwstr>
  </property>
</Properties>
</file>