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eams Tutes\Final -Tutes\SL\CFRM\Set 07\"/>
    </mc:Choice>
  </mc:AlternateContent>
  <bookViews>
    <workbookView xWindow="-105" yWindow="-105" windowWidth="19425" windowHeight="10425" activeTab="4"/>
  </bookViews>
  <sheets>
    <sheet name="WACC" sheetId="1" r:id="rId1"/>
    <sheet name="Sheet3" sheetId="3" r:id="rId2"/>
    <sheet name="WC" sheetId="2" r:id="rId3"/>
    <sheet name="Loans" sheetId="4" r:id="rId4"/>
    <sheet name="net asset" sheetId="5" r:id="rId5"/>
    <sheet name="Q2" sheetId="6" r:id="rId6"/>
    <sheet name="Sheet4" sheetId="7" r:id="rId7"/>
    <sheet name="Sheet5" sheetId="8" r:id="rId8"/>
    <sheet name="Sheet6" sheetId="9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9" l="1"/>
  <c r="F30" i="9"/>
  <c r="F28" i="9"/>
  <c r="D25" i="9"/>
  <c r="E25" i="9"/>
  <c r="F25" i="9"/>
  <c r="G25" i="9"/>
  <c r="H25" i="9"/>
  <c r="C25" i="9"/>
  <c r="J27" i="9"/>
  <c r="D23" i="9"/>
  <c r="E23" i="9"/>
  <c r="F23" i="9"/>
  <c r="G23" i="9"/>
  <c r="H23" i="9"/>
  <c r="C23" i="9"/>
  <c r="E19" i="9"/>
  <c r="F19" i="9"/>
  <c r="G19" i="9"/>
  <c r="H19" i="9"/>
  <c r="D19" i="9"/>
  <c r="E18" i="9"/>
  <c r="F18" i="9"/>
  <c r="G18" i="9"/>
  <c r="H18" i="9"/>
  <c r="D18" i="9"/>
  <c r="H7" i="9"/>
  <c r="G7" i="9"/>
  <c r="E17" i="9"/>
  <c r="F17" i="9"/>
  <c r="D17" i="9"/>
  <c r="E15" i="9"/>
  <c r="F15" i="9"/>
  <c r="G15" i="9"/>
  <c r="H15" i="9"/>
  <c r="D15" i="9"/>
  <c r="E14" i="9"/>
  <c r="F14" i="9"/>
  <c r="G14" i="9"/>
  <c r="H14" i="9"/>
  <c r="D14" i="9"/>
  <c r="E12" i="9"/>
  <c r="F12" i="9"/>
  <c r="G12" i="9"/>
  <c r="H12" i="9"/>
  <c r="D12" i="9"/>
  <c r="C11" i="9"/>
  <c r="E7" i="9"/>
  <c r="F7" i="9"/>
  <c r="G17" i="9"/>
  <c r="H17" i="9"/>
  <c r="D7" i="9"/>
  <c r="E6" i="9"/>
  <c r="F6" i="9"/>
  <c r="D6" i="9"/>
  <c r="E4" i="9"/>
  <c r="F4" i="9"/>
  <c r="D4" i="9"/>
  <c r="G16" i="7"/>
  <c r="H8" i="7"/>
  <c r="G8" i="7"/>
  <c r="E5" i="7"/>
  <c r="F2" i="7"/>
  <c r="I63" i="1"/>
  <c r="I62" i="1"/>
  <c r="H16" i="7"/>
  <c r="I16" i="7"/>
  <c r="J16" i="7"/>
  <c r="K16" i="7"/>
  <c r="I8" i="7"/>
  <c r="J8" i="7"/>
  <c r="K8" i="7"/>
  <c r="D3" i="7"/>
  <c r="D4" i="7"/>
  <c r="D5" i="7"/>
  <c r="D6" i="7"/>
  <c r="D2" i="7"/>
  <c r="E6" i="7"/>
  <c r="E4" i="7"/>
  <c r="E2" i="7"/>
  <c r="E3" i="7"/>
  <c r="F3" i="7"/>
  <c r="F4" i="7"/>
  <c r="F5" i="7"/>
  <c r="F6" i="7"/>
  <c r="F64" i="6"/>
  <c r="F62" i="6"/>
  <c r="F61" i="6"/>
  <c r="I58" i="6"/>
  <c r="E57" i="6"/>
  <c r="J46" i="6"/>
  <c r="J44" i="6"/>
  <c r="J42" i="6"/>
  <c r="J40" i="6"/>
  <c r="J39" i="6"/>
  <c r="J38" i="6"/>
  <c r="J37" i="6"/>
  <c r="J36" i="6"/>
  <c r="J35" i="6"/>
  <c r="J33" i="6"/>
  <c r="D39" i="6"/>
  <c r="I31" i="6"/>
  <c r="I29" i="6"/>
  <c r="I28" i="6"/>
  <c r="I26" i="6"/>
  <c r="I22" i="6"/>
  <c r="F26" i="1"/>
  <c r="D12" i="6"/>
  <c r="D13" i="6"/>
  <c r="D15" i="6" s="1"/>
  <c r="D14" i="6"/>
  <c r="I9" i="6"/>
  <c r="I7" i="6"/>
  <c r="F9" i="6"/>
  <c r="F7" i="6"/>
  <c r="D39" i="5"/>
  <c r="H35" i="5"/>
  <c r="E26" i="5"/>
  <c r="F26" i="5"/>
  <c r="G26" i="5"/>
  <c r="D26" i="5"/>
  <c r="F25" i="5"/>
  <c r="G25" i="5" s="1"/>
  <c r="H25" i="5" s="1"/>
  <c r="E25" i="5"/>
  <c r="D25" i="5"/>
  <c r="E24" i="5"/>
  <c r="F24" i="5"/>
  <c r="G24" i="5"/>
  <c r="H24" i="5"/>
  <c r="H26" i="5" s="1"/>
  <c r="D28" i="5" s="1"/>
  <c r="D24" i="5"/>
  <c r="H18" i="5"/>
  <c r="F18" i="5"/>
  <c r="E11" i="5"/>
  <c r="E9" i="5"/>
  <c r="E7" i="5"/>
  <c r="E6" i="5"/>
  <c r="E5" i="5"/>
  <c r="F11" i="4"/>
  <c r="H55" i="4"/>
  <c r="I55" i="4"/>
  <c r="J55" i="4"/>
  <c r="K55" i="4"/>
  <c r="G55" i="4"/>
  <c r="H53" i="4"/>
  <c r="I53" i="4"/>
  <c r="J53" i="4"/>
  <c r="K53" i="4"/>
  <c r="G53" i="4"/>
  <c r="H54" i="4"/>
  <c r="I54" i="4"/>
  <c r="J54" i="4"/>
  <c r="K54" i="4"/>
  <c r="G54" i="4"/>
  <c r="H52" i="4"/>
  <c r="I52" i="4"/>
  <c r="J52" i="4"/>
  <c r="K52" i="4"/>
  <c r="G52" i="4"/>
  <c r="H49" i="4"/>
  <c r="I49" i="4"/>
  <c r="J49" i="4"/>
  <c r="K49" i="4"/>
  <c r="H50" i="4"/>
  <c r="I50" i="4"/>
  <c r="J50" i="4"/>
  <c r="K50" i="4"/>
  <c r="G50" i="4"/>
  <c r="G49" i="4"/>
  <c r="H47" i="4"/>
  <c r="I47" i="4"/>
  <c r="J47" i="4"/>
  <c r="K47" i="4"/>
  <c r="G47" i="4"/>
  <c r="G35" i="4"/>
  <c r="H35" i="4"/>
  <c r="I35" i="4"/>
  <c r="I37" i="4" s="1"/>
  <c r="J35" i="4"/>
  <c r="K35" i="4"/>
  <c r="H37" i="4"/>
  <c r="J37" i="4"/>
  <c r="K37" i="4"/>
  <c r="G37" i="4"/>
  <c r="K34" i="4"/>
  <c r="J34" i="4"/>
  <c r="H34" i="4"/>
  <c r="I34" i="4"/>
  <c r="G34" i="4"/>
  <c r="H33" i="4"/>
  <c r="I33" i="4"/>
  <c r="J33" i="4"/>
  <c r="K33" i="4"/>
  <c r="G33" i="4"/>
  <c r="H31" i="4"/>
  <c r="I31" i="4"/>
  <c r="J31" i="4"/>
  <c r="K31" i="4"/>
  <c r="H30" i="4"/>
  <c r="I30" i="4"/>
  <c r="J30" i="4"/>
  <c r="K30" i="4"/>
  <c r="G31" i="4"/>
  <c r="G30" i="4"/>
  <c r="H29" i="4"/>
  <c r="I29" i="4"/>
  <c r="J29" i="4"/>
  <c r="K29" i="4"/>
  <c r="G29" i="4"/>
  <c r="H26" i="4"/>
  <c r="I26" i="4"/>
  <c r="J26" i="4"/>
  <c r="K26" i="4"/>
  <c r="G26" i="4"/>
  <c r="H24" i="4"/>
  <c r="I24" i="4"/>
  <c r="J24" i="4"/>
  <c r="K24" i="4"/>
  <c r="G24" i="4"/>
  <c r="H25" i="4"/>
  <c r="I25" i="4"/>
  <c r="J25" i="4"/>
  <c r="K25" i="4"/>
  <c r="G25" i="4"/>
  <c r="H23" i="4"/>
  <c r="I23" i="4"/>
  <c r="J23" i="4"/>
  <c r="K23" i="4"/>
  <c r="G23" i="4"/>
  <c r="E16" i="4"/>
  <c r="F10" i="4"/>
  <c r="D10" i="4"/>
  <c r="F7" i="4"/>
  <c r="G6" i="4"/>
  <c r="E4" i="4"/>
  <c r="F4" i="4"/>
  <c r="G4" i="4"/>
  <c r="H4" i="4"/>
  <c r="I4" i="4"/>
  <c r="J4" i="4"/>
  <c r="K4" i="4"/>
  <c r="D4" i="4"/>
  <c r="F17" i="4"/>
  <c r="G17" i="4"/>
  <c r="H17" i="4"/>
  <c r="I17" i="4"/>
  <c r="J17" i="4"/>
  <c r="K17" i="4"/>
  <c r="E17" i="4"/>
  <c r="F18" i="4"/>
  <c r="D18" i="4"/>
  <c r="G15" i="4"/>
  <c r="E15" i="4"/>
  <c r="G12" i="4"/>
  <c r="H12" i="4"/>
  <c r="I12" i="4"/>
  <c r="J12" i="4"/>
  <c r="K12" i="4"/>
  <c r="F12" i="4"/>
  <c r="K11" i="4"/>
  <c r="G11" i="4"/>
  <c r="H11" i="4"/>
  <c r="I11" i="4"/>
  <c r="J11" i="4"/>
  <c r="H7" i="4"/>
  <c r="I7" i="4" s="1"/>
  <c r="J7" i="4" s="1"/>
  <c r="G7" i="4"/>
  <c r="E12" i="4"/>
  <c r="E11" i="4"/>
  <c r="D11" i="4"/>
  <c r="D12" i="4"/>
  <c r="H6" i="4"/>
  <c r="I6" i="4" s="1"/>
  <c r="J6" i="4" s="1"/>
  <c r="K6" i="4" s="1"/>
  <c r="G59" i="1"/>
  <c r="G60" i="1" s="1"/>
  <c r="G62" i="1" s="1"/>
  <c r="G63" i="1" s="1"/>
  <c r="G57" i="1"/>
  <c r="H56" i="1"/>
  <c r="I56" i="1"/>
  <c r="J56" i="1"/>
  <c r="K56" i="1"/>
  <c r="G56" i="1"/>
  <c r="I55" i="1"/>
  <c r="J55" i="1" s="1"/>
  <c r="K55" i="1" s="1"/>
  <c r="H55" i="1"/>
  <c r="G55" i="1"/>
  <c r="H54" i="1"/>
  <c r="I54" i="1"/>
  <c r="J54" i="1"/>
  <c r="K54" i="1"/>
  <c r="G54" i="1"/>
  <c r="K53" i="1"/>
  <c r="H49" i="1"/>
  <c r="H52" i="1" s="1"/>
  <c r="I49" i="1"/>
  <c r="J49" i="1"/>
  <c r="K49" i="1"/>
  <c r="K52" i="1" s="1"/>
  <c r="G49" i="1"/>
  <c r="I52" i="1"/>
  <c r="J52" i="1"/>
  <c r="G52" i="1"/>
  <c r="I51" i="1"/>
  <c r="J51" i="1"/>
  <c r="K51" i="1"/>
  <c r="H51" i="1"/>
  <c r="G33" i="3"/>
  <c r="H33" i="3"/>
  <c r="I33" i="3"/>
  <c r="F33" i="3"/>
  <c r="G32" i="3"/>
  <c r="H32" i="3"/>
  <c r="I32" i="3"/>
  <c r="F32" i="3"/>
  <c r="F31" i="3"/>
  <c r="K50" i="1"/>
  <c r="J50" i="1"/>
  <c r="I50" i="1"/>
  <c r="H50" i="1"/>
  <c r="G50" i="1"/>
  <c r="F27" i="3"/>
  <c r="G27" i="3"/>
  <c r="D26" i="3"/>
  <c r="E27" i="3" s="1"/>
  <c r="F26" i="3"/>
  <c r="G26" i="3"/>
  <c r="H26" i="3"/>
  <c r="H27" i="3" s="1"/>
  <c r="I26" i="3"/>
  <c r="I27" i="3" s="1"/>
  <c r="E26" i="3"/>
  <c r="I25" i="3"/>
  <c r="H25" i="3"/>
  <c r="G25" i="3"/>
  <c r="F25" i="3"/>
  <c r="I45" i="1"/>
  <c r="H45" i="1"/>
  <c r="K46" i="1"/>
  <c r="H46" i="1"/>
  <c r="I46" i="1"/>
  <c r="J46" i="1"/>
  <c r="G46" i="1"/>
  <c r="K45" i="1"/>
  <c r="J45" i="1"/>
  <c r="G45" i="1"/>
  <c r="H44" i="1"/>
  <c r="I44" i="1"/>
  <c r="J44" i="1"/>
  <c r="K44" i="1"/>
  <c r="G44" i="1"/>
  <c r="H36" i="1"/>
  <c r="I36" i="1"/>
  <c r="J36" i="1"/>
  <c r="K36" i="1"/>
  <c r="G36" i="1"/>
  <c r="K35" i="1"/>
  <c r="J35" i="1"/>
  <c r="H35" i="1"/>
  <c r="I35" i="1"/>
  <c r="G35" i="1"/>
  <c r="H34" i="1"/>
  <c r="I34" i="1"/>
  <c r="J34" i="1"/>
  <c r="K34" i="1"/>
  <c r="G34" i="1"/>
  <c r="H33" i="1"/>
  <c r="I33" i="1"/>
  <c r="J33" i="1"/>
  <c r="K33" i="1"/>
  <c r="G33" i="1"/>
  <c r="H31" i="1"/>
  <c r="I31" i="1"/>
  <c r="J31" i="1"/>
  <c r="K31" i="1"/>
  <c r="H32" i="1"/>
  <c r="I32" i="1"/>
  <c r="J32" i="1"/>
  <c r="K32" i="1"/>
  <c r="G32" i="1"/>
  <c r="G31" i="1"/>
  <c r="H30" i="1"/>
  <c r="I30" i="1"/>
  <c r="J30" i="1"/>
  <c r="K30" i="1"/>
  <c r="G30" i="1"/>
  <c r="H28" i="1"/>
  <c r="I28" i="1"/>
  <c r="J28" i="1"/>
  <c r="K28" i="1"/>
  <c r="H29" i="1"/>
  <c r="I29" i="1"/>
  <c r="J29" i="1"/>
  <c r="K29" i="1"/>
  <c r="G29" i="1"/>
  <c r="G28" i="1"/>
  <c r="E22" i="2"/>
  <c r="F22" i="2"/>
  <c r="G22" i="2"/>
  <c r="H22" i="2"/>
  <c r="I22" i="2"/>
  <c r="J22" i="2"/>
  <c r="K22" i="2"/>
  <c r="D22" i="2"/>
  <c r="K21" i="2"/>
  <c r="K19" i="2"/>
  <c r="E19" i="2"/>
  <c r="F19" i="2"/>
  <c r="G19" i="2"/>
  <c r="H19" i="2"/>
  <c r="I19" i="2"/>
  <c r="J19" i="2"/>
  <c r="E20" i="2"/>
  <c r="F20" i="2"/>
  <c r="G20" i="2"/>
  <c r="H20" i="2"/>
  <c r="I20" i="2"/>
  <c r="J20" i="2"/>
  <c r="K20" i="2"/>
  <c r="E21" i="2"/>
  <c r="F21" i="2"/>
  <c r="G21" i="2"/>
  <c r="H21" i="2"/>
  <c r="I21" i="2"/>
  <c r="J21" i="2"/>
  <c r="D21" i="2"/>
  <c r="D20" i="2"/>
  <c r="D19" i="2"/>
  <c r="D12" i="2"/>
  <c r="E12" i="2"/>
  <c r="F12" i="2"/>
  <c r="D7" i="2"/>
  <c r="E7" i="2"/>
  <c r="F7" i="2"/>
  <c r="H12" i="2"/>
  <c r="H14" i="2" s="1"/>
  <c r="I12" i="2"/>
  <c r="I14" i="2" s="1"/>
  <c r="J12" i="2"/>
  <c r="J14" i="2" s="1"/>
  <c r="K12" i="2"/>
  <c r="K14" i="2" s="1"/>
  <c r="G12" i="2"/>
  <c r="G14" i="2" s="1"/>
  <c r="H7" i="2"/>
  <c r="I7" i="2"/>
  <c r="J7" i="2"/>
  <c r="K7" i="2"/>
  <c r="G7" i="2"/>
  <c r="F14" i="1"/>
  <c r="D14" i="1"/>
  <c r="H12" i="1"/>
  <c r="H14" i="1" s="1"/>
  <c r="I12" i="1"/>
  <c r="I14" i="1" s="1"/>
  <c r="J12" i="1"/>
  <c r="J14" i="1" s="1"/>
  <c r="K12" i="1"/>
  <c r="G12" i="1"/>
  <c r="G14" i="1" s="1"/>
  <c r="H7" i="1"/>
  <c r="I7" i="1"/>
  <c r="J7" i="1"/>
  <c r="K7" i="1"/>
  <c r="K14" i="1" s="1"/>
  <c r="G7" i="1"/>
  <c r="E14" i="1"/>
  <c r="E12" i="1"/>
  <c r="D12" i="1"/>
  <c r="F12" i="1"/>
  <c r="E7" i="1"/>
  <c r="D7" i="1"/>
  <c r="F7" i="1"/>
  <c r="K10" i="4" l="1"/>
  <c r="K18" i="4" s="1"/>
  <c r="E10" i="4"/>
  <c r="J10" i="4"/>
  <c r="I10" i="4"/>
  <c r="G10" i="4"/>
  <c r="H10" i="4"/>
  <c r="E14" i="2"/>
  <c r="F14" i="2"/>
  <c r="D14" i="2"/>
  <c r="G18" i="4" l="1"/>
  <c r="G16" i="4" s="1"/>
  <c r="H15" i="4"/>
  <c r="F15" i="4"/>
  <c r="F16" i="4" s="1"/>
  <c r="E18" i="4"/>
  <c r="J18" i="4"/>
  <c r="J16" i="4" s="1"/>
  <c r="K15" i="4"/>
  <c r="K16" i="4" s="1"/>
  <c r="H18" i="4"/>
  <c r="H16" i="4" s="1"/>
  <c r="I15" i="4"/>
  <c r="I18" i="4"/>
  <c r="J15" i="4"/>
  <c r="I16" i="4" l="1"/>
</calcChain>
</file>

<file path=xl/sharedStrings.xml><?xml version="1.0" encoding="utf-8"?>
<sst xmlns="http://schemas.openxmlformats.org/spreadsheetml/2006/main" count="317" uniqueCount="246">
  <si>
    <t>Equity</t>
  </si>
  <si>
    <t>Stated capital</t>
  </si>
  <si>
    <t>Revaluation reserve</t>
  </si>
  <si>
    <t>Retained earnings</t>
  </si>
  <si>
    <t>Total equity</t>
  </si>
  <si>
    <t>Liability</t>
  </si>
  <si>
    <t>Loans and borrowings</t>
  </si>
  <si>
    <t>Total Debt</t>
  </si>
  <si>
    <t>D/E</t>
  </si>
  <si>
    <t>How to find the Bg of private Company</t>
  </si>
  <si>
    <t>WACC computation =</t>
  </si>
  <si>
    <t>(Ke x E%) x (Kd x D%)</t>
  </si>
  <si>
    <t>1. find Bg of a similar listed company</t>
  </si>
  <si>
    <t>Cost of Equity (Ke)</t>
  </si>
  <si>
    <t>(CAPM)</t>
  </si>
  <si>
    <t>Ke = Rf +(Rp x B)</t>
  </si>
  <si>
    <t>2. ungeared the above beta using its Gearing</t>
  </si>
  <si>
    <t>3. Geared again above ungeared beta using your company's gearing</t>
  </si>
  <si>
    <t>Ungeared bets of similar company</t>
  </si>
  <si>
    <t>Bu = Bg x           E</t>
  </si>
  <si>
    <t>E   + D (1-t)</t>
  </si>
  <si>
    <t>Bg</t>
  </si>
  <si>
    <t>D</t>
  </si>
  <si>
    <t>E</t>
  </si>
  <si>
    <t>Bu</t>
  </si>
  <si>
    <t>E%</t>
  </si>
  <si>
    <t>D%</t>
  </si>
  <si>
    <t>Ke</t>
  </si>
  <si>
    <t>Kd</t>
  </si>
  <si>
    <t>WACC</t>
  </si>
  <si>
    <t>We can take average WACC as 14% per annum</t>
  </si>
  <si>
    <t>Free cashflows to Entity</t>
  </si>
  <si>
    <t>Operationg profit</t>
  </si>
  <si>
    <t>Finance income</t>
  </si>
  <si>
    <t>before Inflation</t>
  </si>
  <si>
    <t>TV=</t>
  </si>
  <si>
    <t>CF5(1+g)</t>
  </si>
  <si>
    <t>Inflation</t>
  </si>
  <si>
    <t>WACC - g</t>
  </si>
  <si>
    <t>After inflation</t>
  </si>
  <si>
    <t>(+)Dep &amp; Amort.</t>
  </si>
  <si>
    <t>(-) WC</t>
  </si>
  <si>
    <t>(-) Capital expenditure</t>
  </si>
  <si>
    <t>(-) income tax</t>
  </si>
  <si>
    <t>TV</t>
  </si>
  <si>
    <t>FCF entity</t>
  </si>
  <si>
    <t>WACC 14%</t>
  </si>
  <si>
    <t>PV</t>
  </si>
  <si>
    <t>PV of FCF entity</t>
  </si>
  <si>
    <t>(-) book value of debt</t>
  </si>
  <si>
    <t>(+) Cash &amp; cash equi.</t>
  </si>
  <si>
    <t>Value of Equity</t>
  </si>
  <si>
    <t>No of Shares</t>
  </si>
  <si>
    <t>Value per share</t>
  </si>
  <si>
    <t>10% dicoount</t>
  </si>
  <si>
    <t>value per share Rs. 115/-</t>
  </si>
  <si>
    <t>Current</t>
  </si>
  <si>
    <t>WC</t>
  </si>
  <si>
    <t>Add invets</t>
  </si>
  <si>
    <t>PBT</t>
  </si>
  <si>
    <t>Tax 24%</t>
  </si>
  <si>
    <t>Inventories</t>
  </si>
  <si>
    <t>Trade and other receivables</t>
  </si>
  <si>
    <t>Income tax recoverable</t>
  </si>
  <si>
    <t>Other financial assets</t>
  </si>
  <si>
    <t>Cash and cash equivalents</t>
  </si>
  <si>
    <t>Total current assets</t>
  </si>
  <si>
    <t>Trade and other payables</t>
  </si>
  <si>
    <t>Bank overdrafts</t>
  </si>
  <si>
    <t>Total current liabilities</t>
  </si>
  <si>
    <t>Net WC</t>
  </si>
  <si>
    <t>Revenue</t>
  </si>
  <si>
    <t>Cost of sales</t>
  </si>
  <si>
    <t>Inventory turnover days</t>
  </si>
  <si>
    <t>Debtors Collection days</t>
  </si>
  <si>
    <t>Creditor Settlement days</t>
  </si>
  <si>
    <t>Cash Operating Cycle</t>
  </si>
  <si>
    <t>NCL</t>
  </si>
  <si>
    <t>CL</t>
  </si>
  <si>
    <t>Total</t>
  </si>
  <si>
    <t>Special Loan</t>
  </si>
  <si>
    <t>Balance loan</t>
  </si>
  <si>
    <t>open</t>
  </si>
  <si>
    <t>add</t>
  </si>
  <si>
    <t>repay</t>
  </si>
  <si>
    <t>Close</t>
  </si>
  <si>
    <t>therefore Capital Structure can be as follows</t>
  </si>
  <si>
    <t>xxxxx</t>
  </si>
  <si>
    <t>Special loan</t>
  </si>
  <si>
    <t>other loans</t>
  </si>
  <si>
    <t>assumption 01</t>
  </si>
  <si>
    <t>other loan is a separate bank loan with a separate interest rate (10%)</t>
  </si>
  <si>
    <t>Kd Special</t>
  </si>
  <si>
    <t>Kd other</t>
  </si>
  <si>
    <t>Assumption 02</t>
  </si>
  <si>
    <t>Examiner will consider the balance loan as a working capital loan such revolving facility to purchase RM or non recouse factoring</t>
  </si>
  <si>
    <t>Beta Levered</t>
  </si>
  <si>
    <t>Ke= CAPM</t>
  </si>
  <si>
    <t>Kd Special Loan</t>
  </si>
  <si>
    <t>Net Asset</t>
  </si>
  <si>
    <t>E                   +</t>
  </si>
  <si>
    <t>L                  =</t>
  </si>
  <si>
    <t>Asset</t>
  </si>
  <si>
    <t>+</t>
  </si>
  <si>
    <t>(-) PPE</t>
  </si>
  <si>
    <t>-</t>
  </si>
  <si>
    <t>(-) inventory</t>
  </si>
  <si>
    <t>(-) Debtors</t>
  </si>
  <si>
    <t>(+) Brand name</t>
  </si>
  <si>
    <t>Share</t>
  </si>
  <si>
    <t>value per share Rs.</t>
  </si>
  <si>
    <t>Dividend Model</t>
  </si>
  <si>
    <t>Rs</t>
  </si>
  <si>
    <t xml:space="preserve">MPS  = </t>
  </si>
  <si>
    <t>D1</t>
  </si>
  <si>
    <t>=</t>
  </si>
  <si>
    <t>Year</t>
  </si>
  <si>
    <t>…............................................n</t>
  </si>
  <si>
    <t>dividend</t>
  </si>
  <si>
    <r>
      <t xml:space="preserve">MPS= </t>
    </r>
    <r>
      <rPr>
        <u/>
        <sz val="11"/>
        <color theme="1"/>
        <rFont val="Calibri"/>
        <family val="2"/>
        <scheme val="minor"/>
      </rPr>
      <t>6.25 x ( 1+0.1)</t>
    </r>
  </si>
  <si>
    <t xml:space="preserve">             0.165  - 0.1</t>
  </si>
  <si>
    <t>assume g = 10%</t>
  </si>
  <si>
    <t>DCF</t>
  </si>
  <si>
    <t>Price</t>
  </si>
  <si>
    <t>PE method</t>
  </si>
  <si>
    <t>PE = MPS/EPS</t>
  </si>
  <si>
    <t>Similar company</t>
  </si>
  <si>
    <t>EPS 45</t>
  </si>
  <si>
    <t>MPS 135</t>
  </si>
  <si>
    <t>MPS = PE x EPS</t>
  </si>
  <si>
    <t>PE</t>
  </si>
  <si>
    <t>we can take other company PE as its or we can made adjustments to increase or decrease</t>
  </si>
  <si>
    <t>if its same</t>
  </si>
  <si>
    <t>CAPL</t>
  </si>
  <si>
    <t xml:space="preserve">MPS = </t>
  </si>
  <si>
    <t>3 x 39</t>
  </si>
  <si>
    <t>MPS Rs.</t>
  </si>
  <si>
    <t>Net Asset basis</t>
  </si>
  <si>
    <t>LKR MN</t>
  </si>
  <si>
    <t>Earning base valuation - PE methods</t>
  </si>
  <si>
    <t>net Asset as at 31 march 2022</t>
  </si>
  <si>
    <t>CAPL EPS</t>
  </si>
  <si>
    <t>Land buildings</t>
  </si>
  <si>
    <t>Machineries</t>
  </si>
  <si>
    <t>Inventory</t>
  </si>
  <si>
    <t>EPS</t>
  </si>
  <si>
    <t>Receivables</t>
  </si>
  <si>
    <t>MPS</t>
  </si>
  <si>
    <t>times</t>
  </si>
  <si>
    <t>No of shares</t>
  </si>
  <si>
    <t>8mn</t>
  </si>
  <si>
    <t>Rs.</t>
  </si>
  <si>
    <t>CAPL MPS  Rs.</t>
  </si>
  <si>
    <t>FCF valuations method</t>
  </si>
  <si>
    <t>WACC computation</t>
  </si>
  <si>
    <t>Expected value</t>
  </si>
  <si>
    <t>expected EBIT/SALES reductions</t>
  </si>
  <si>
    <t>Current D/E ratio</t>
  </si>
  <si>
    <t>Geared beta</t>
  </si>
  <si>
    <t xml:space="preserve">Cost of Equity CAPM = </t>
  </si>
  <si>
    <t>Cost of Debt =  R ( 1 - t)</t>
  </si>
  <si>
    <t>WACC (70%x17.3%)+(30%x5.3%)</t>
  </si>
  <si>
    <t>Valuation of the business</t>
  </si>
  <si>
    <t>EBIT/SALES will expected to decrease by 2.5%</t>
  </si>
  <si>
    <t>Forecasted Sales ( 3141 x 1.045)</t>
  </si>
  <si>
    <t>Current sales will increase by 4.5%</t>
  </si>
  <si>
    <t>Revised EBIT /SALES ratio</t>
  </si>
  <si>
    <t>income tax 24%</t>
  </si>
  <si>
    <r>
      <t>13.3% -</t>
    </r>
    <r>
      <rPr>
        <sz val="11"/>
        <color rgb="FFFF0000"/>
        <rFont val="Calibri"/>
        <family val="2"/>
        <scheme val="minor"/>
      </rPr>
      <t xml:space="preserve"> 2.5%</t>
    </r>
  </si>
  <si>
    <t>Addition to PPE 0.1% on sales</t>
  </si>
  <si>
    <t>Revised EBIT forecast</t>
  </si>
  <si>
    <t>Additions to WC 0.55 on sales</t>
  </si>
  <si>
    <t>(-) tax 24%</t>
  </si>
  <si>
    <t>current sales 3141</t>
  </si>
  <si>
    <t>(-) PPE expenditure</t>
  </si>
  <si>
    <t>current EBIT/SALES</t>
  </si>
  <si>
    <t>(-) WC invesrtment</t>
  </si>
  <si>
    <t>Free cashflow to the Entity</t>
  </si>
  <si>
    <t>PV of FCFF</t>
  </si>
  <si>
    <t>CF / (WACC- GR)</t>
  </si>
  <si>
    <t>(-) Mkt value of Debt</t>
  </si>
  <si>
    <t>PV of Equity</t>
  </si>
  <si>
    <t>Asset base</t>
  </si>
  <si>
    <t>FOREX Question</t>
  </si>
  <si>
    <t>1. Unhedges</t>
  </si>
  <si>
    <t>three months Spot rate 401/-</t>
  </si>
  <si>
    <t>2. FORWARD contract</t>
  </si>
  <si>
    <t>150,000 x 401/-</t>
  </si>
  <si>
    <t>three months forward rate 400/-</t>
  </si>
  <si>
    <t>3 Money market hedging</t>
  </si>
  <si>
    <t>1. Compute PV of USD payment using deposit rate</t>
  </si>
  <si>
    <t>2. Compute LKR requirement to buy USD 147,783.25</t>
  </si>
  <si>
    <t>3. Borrow LKR 53,940,886.70</t>
  </si>
  <si>
    <t>4. Interest cost LKR loan &amp; principle</t>
  </si>
  <si>
    <t xml:space="preserve">Healthcare </t>
  </si>
  <si>
    <t>1. Increase production capacity to meet overseas demad</t>
  </si>
  <si>
    <t>Pharma</t>
  </si>
  <si>
    <t>production capacity increase wii be finace by new share issue to Blue-Rock</t>
  </si>
  <si>
    <t>Herbal Beauty</t>
  </si>
  <si>
    <t>Oil</t>
  </si>
  <si>
    <t>did they consider this capacity increase in forecast??????</t>
  </si>
  <si>
    <t>Beverages</t>
  </si>
  <si>
    <t>Sales</t>
  </si>
  <si>
    <t>PPE</t>
  </si>
  <si>
    <t>WIP</t>
  </si>
  <si>
    <t xml:space="preserve">Share capital </t>
  </si>
  <si>
    <t>31/3/2023</t>
  </si>
  <si>
    <t>31/3/2024</t>
  </si>
  <si>
    <t>at beginning</t>
  </si>
  <si>
    <t>of the year</t>
  </si>
  <si>
    <t>2016/17</t>
  </si>
  <si>
    <t>2017/18</t>
  </si>
  <si>
    <t>2018/18</t>
  </si>
  <si>
    <t>2019/20</t>
  </si>
  <si>
    <t>2020/21</t>
  </si>
  <si>
    <t>2021/22</t>
  </si>
  <si>
    <t>Total sales</t>
  </si>
  <si>
    <t>PBIT</t>
  </si>
  <si>
    <t>PBIT/SALES</t>
  </si>
  <si>
    <t>Adj to market info</t>
  </si>
  <si>
    <t>Adjusted PBIT/SALES</t>
  </si>
  <si>
    <t>Total Adjusted PBIT</t>
  </si>
  <si>
    <t>Sales bofore expansion</t>
  </si>
  <si>
    <t>Forecaste PBIT</t>
  </si>
  <si>
    <t>market Adj</t>
  </si>
  <si>
    <t>Adjusted PBIT before expan</t>
  </si>
  <si>
    <t>2022/23</t>
  </si>
  <si>
    <t>2023/24</t>
  </si>
  <si>
    <t>2024/25</t>
  </si>
  <si>
    <t>…..infinity</t>
  </si>
  <si>
    <t>Incremental PBIT on Expan</t>
  </si>
  <si>
    <t>PAT</t>
  </si>
  <si>
    <t>Dep</t>
  </si>
  <si>
    <t>cost of expansion</t>
  </si>
  <si>
    <t>25-10</t>
  </si>
  <si>
    <t>WC investment</t>
  </si>
  <si>
    <t>FCFF</t>
  </si>
  <si>
    <t>CF (1+g)</t>
  </si>
  <si>
    <t>wacc - g</t>
  </si>
  <si>
    <t>CF</t>
  </si>
  <si>
    <t>GR&amp;RW</t>
  </si>
  <si>
    <t>recover</t>
  </si>
  <si>
    <t>SP</t>
  </si>
  <si>
    <t>nuetral</t>
  </si>
  <si>
    <t>AD</t>
  </si>
  <si>
    <t>worse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</si>
</sst>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0" fontId="0" fillId="0" borderId="1" xfId="0" applyBorder="1"/>
    <xf numFmtId="43" fontId="0" fillId="0" borderId="0" xfId="0" applyNumberFormat="1"/>
    <xf numFmtId="0" fontId="2" fillId="0" borderId="0" xfId="0" applyFont="1"/>
    <xf numFmtId="0" fontId="3" fillId="0" borderId="0" xfId="0" applyFont="1"/>
    <xf numFmtId="9" fontId="3" fillId="0" borderId="0" xfId="2" applyFont="1"/>
    <xf numFmtId="164" fontId="0" fillId="0" borderId="1" xfId="0" applyNumberFormat="1" applyBorder="1"/>
    <xf numFmtId="0" fontId="2" fillId="2" borderId="0" xfId="0" applyFont="1" applyFill="1"/>
    <xf numFmtId="0" fontId="0" fillId="2" borderId="0" xfId="0" applyFill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0" fillId="2" borderId="1" xfId="0" applyFill="1" applyBorder="1"/>
    <xf numFmtId="9" fontId="3" fillId="2" borderId="0" xfId="2" applyFont="1" applyFill="1"/>
    <xf numFmtId="3" fontId="2" fillId="0" borderId="0" xfId="0" applyNumberFormat="1" applyFont="1"/>
    <xf numFmtId="0" fontId="0" fillId="0" borderId="2" xfId="0" applyBorder="1"/>
    <xf numFmtId="9" fontId="0" fillId="0" borderId="0" xfId="0" applyNumberFormat="1"/>
    <xf numFmtId="43" fontId="0" fillId="0" borderId="0" xfId="1" applyFont="1"/>
    <xf numFmtId="2" fontId="0" fillId="0" borderId="0" xfId="0" applyNumberFormat="1"/>
    <xf numFmtId="9" fontId="2" fillId="0" borderId="0" xfId="2" applyFont="1"/>
    <xf numFmtId="166" fontId="2" fillId="0" borderId="0" xfId="0" applyNumberFormat="1" applyFont="1"/>
    <xf numFmtId="165" fontId="0" fillId="0" borderId="0" xfId="1" quotePrefix="1" applyNumberFormat="1" applyFont="1"/>
    <xf numFmtId="43" fontId="0" fillId="0" borderId="2" xfId="0" applyNumberFormat="1" applyBorder="1"/>
    <xf numFmtId="43" fontId="0" fillId="0" borderId="2" xfId="1" applyFont="1" applyBorder="1"/>
    <xf numFmtId="0" fontId="2" fillId="3" borderId="0" xfId="0" applyFont="1" applyFill="1"/>
    <xf numFmtId="0" fontId="4" fillId="3" borderId="0" xfId="0" applyFont="1" applyFill="1"/>
    <xf numFmtId="167" fontId="0" fillId="0" borderId="0" xfId="1" applyNumberFormat="1" applyFont="1"/>
    <xf numFmtId="164" fontId="0" fillId="0" borderId="0" xfId="0" applyNumberFormat="1"/>
    <xf numFmtId="0" fontId="3" fillId="4" borderId="0" xfId="0" applyFont="1" applyFill="1"/>
    <xf numFmtId="0" fontId="3" fillId="5" borderId="0" xfId="0" applyFont="1" applyFill="1"/>
    <xf numFmtId="164" fontId="0" fillId="0" borderId="3" xfId="1" applyNumberFormat="1" applyFont="1" applyBorder="1"/>
    <xf numFmtId="0" fontId="0" fillId="3" borderId="4" xfId="0" applyFill="1" applyBorder="1"/>
    <xf numFmtId="0" fontId="0" fillId="3" borderId="5" xfId="0" applyFill="1" applyBorder="1"/>
    <xf numFmtId="164" fontId="0" fillId="0" borderId="6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0" fontId="0" fillId="0" borderId="9" xfId="0" applyBorder="1"/>
    <xf numFmtId="0" fontId="0" fillId="0" borderId="10" xfId="0" applyBorder="1"/>
    <xf numFmtId="0" fontId="2" fillId="3" borderId="4" xfId="0" applyFont="1" applyFill="1" applyBorder="1"/>
    <xf numFmtId="0" fontId="2" fillId="3" borderId="5" xfId="0" applyFont="1" applyFill="1" applyBorder="1"/>
    <xf numFmtId="164" fontId="3" fillId="0" borderId="0" xfId="1" applyNumberFormat="1" applyFont="1"/>
    <xf numFmtId="9" fontId="0" fillId="0" borderId="0" xfId="2" applyFont="1"/>
    <xf numFmtId="164" fontId="3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4" fontId="0" fillId="0" borderId="1" xfId="1" applyNumberFormat="1" applyFont="1" applyBorder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3" borderId="0" xfId="0" applyFill="1"/>
    <xf numFmtId="0" fontId="0" fillId="0" borderId="8" xfId="0" applyBorder="1"/>
    <xf numFmtId="43" fontId="0" fillId="0" borderId="9" xfId="1" applyFont="1" applyBorder="1"/>
    <xf numFmtId="0" fontId="0" fillId="0" borderId="0" xfId="0" quotePrefix="1"/>
    <xf numFmtId="43" fontId="0" fillId="0" borderId="0" xfId="1" applyFont="1" applyBorder="1"/>
    <xf numFmtId="0" fontId="0" fillId="0" borderId="9" xfId="0" applyBorder="1" applyAlignment="1">
      <alignment horizontal="center"/>
    </xf>
    <xf numFmtId="10" fontId="0" fillId="0" borderId="9" xfId="0" applyNumberFormat="1" applyBorder="1"/>
    <xf numFmtId="165" fontId="0" fillId="0" borderId="0" xfId="1" applyNumberFormat="1" applyFont="1"/>
    <xf numFmtId="164" fontId="0" fillId="0" borderId="11" xfId="1" applyNumberFormat="1" applyFont="1" applyBorder="1"/>
    <xf numFmtId="164" fontId="0" fillId="3" borderId="0" xfId="1" applyNumberFormat="1" applyFont="1" applyFill="1"/>
    <xf numFmtId="168" fontId="0" fillId="0" borderId="0" xfId="2" applyNumberFormat="1" applyFont="1"/>
    <xf numFmtId="168" fontId="0" fillId="0" borderId="11" xfId="2" applyNumberFormat="1" applyFont="1" applyBorder="1"/>
    <xf numFmtId="0" fontId="0" fillId="3" borderId="2" xfId="0" applyFill="1" applyBorder="1"/>
    <xf numFmtId="2" fontId="3" fillId="0" borderId="0" xfId="0" applyNumberFormat="1" applyFont="1"/>
    <xf numFmtId="0" fontId="8" fillId="2" borderId="0" xfId="0" applyFont="1" applyFill="1"/>
    <xf numFmtId="0" fontId="5" fillId="2" borderId="0" xfId="0" applyFont="1" applyFill="1"/>
    <xf numFmtId="164" fontId="5" fillId="2" borderId="0" xfId="1" applyNumberFormat="1" applyFont="1" applyFill="1"/>
    <xf numFmtId="164" fontId="5" fillId="2" borderId="1" xfId="1" applyNumberFormat="1" applyFont="1" applyFill="1" applyBorder="1"/>
    <xf numFmtId="0" fontId="5" fillId="2" borderId="1" xfId="0" applyFont="1" applyFill="1" applyBorder="1"/>
    <xf numFmtId="9" fontId="9" fillId="2" borderId="0" xfId="2" applyFont="1" applyFill="1"/>
    <xf numFmtId="0" fontId="5" fillId="3" borderId="2" xfId="0" applyFont="1" applyFill="1" applyBorder="1"/>
    <xf numFmtId="0" fontId="5" fillId="3" borderId="0" xfId="0" applyFont="1" applyFill="1"/>
    <xf numFmtId="9" fontId="5" fillId="0" borderId="0" xfId="0" applyNumberFormat="1" applyFont="1"/>
    <xf numFmtId="2" fontId="9" fillId="0" borderId="0" xfId="0" applyNumberFormat="1" applyFont="1"/>
    <xf numFmtId="0" fontId="8" fillId="0" borderId="0" xfId="0" applyFont="1"/>
    <xf numFmtId="43" fontId="5" fillId="0" borderId="0" xfId="1" applyFont="1"/>
    <xf numFmtId="168" fontId="2" fillId="0" borderId="0" xfId="2" applyNumberFormat="1" applyFont="1"/>
    <xf numFmtId="168" fontId="0" fillId="2" borderId="0" xfId="2" applyNumberFormat="1" applyFont="1" applyFill="1"/>
    <xf numFmtId="43" fontId="2" fillId="0" borderId="0" xfId="1" applyFont="1"/>
    <xf numFmtId="43" fontId="2" fillId="0" borderId="11" xfId="1" applyFont="1" applyBorder="1"/>
    <xf numFmtId="43" fontId="2" fillId="0" borderId="0" xfId="0" applyNumberFormat="1" applyFont="1"/>
    <xf numFmtId="43" fontId="1" fillId="0" borderId="11" xfId="1" applyFont="1" applyBorder="1"/>
    <xf numFmtId="43" fontId="0" fillId="3" borderId="0" xfId="0" applyNumberFormat="1" applyFill="1"/>
    <xf numFmtId="9" fontId="0" fillId="3" borderId="0" xfId="0" applyNumberFormat="1" applyFill="1"/>
    <xf numFmtId="164" fontId="2" fillId="3" borderId="1" xfId="1" applyNumberFormat="1" applyFont="1" applyFill="1" applyBorder="1"/>
    <xf numFmtId="0" fontId="8" fillId="3" borderId="0" xfId="0" applyFont="1" applyFill="1"/>
    <xf numFmtId="3" fontId="10" fillId="0" borderId="0" xfId="0" applyNumberFormat="1" applyFont="1"/>
    <xf numFmtId="0" fontId="10" fillId="0" borderId="0" xfId="0" applyFont="1"/>
    <xf numFmtId="14" fontId="0" fillId="0" borderId="0" xfId="0" applyNumberFormat="1"/>
    <xf numFmtId="10" fontId="0" fillId="0" borderId="0" xfId="2" applyNumberFormat="1" applyFont="1"/>
    <xf numFmtId="0" fontId="12" fillId="0" borderId="0" xfId="0" applyFont="1"/>
    <xf numFmtId="10" fontId="0" fillId="0" borderId="0" xfId="0" applyNumberFormat="1"/>
    <xf numFmtId="164" fontId="2" fillId="0" borderId="0" xfId="1" applyNumberFormat="1" applyFont="1"/>
    <xf numFmtId="164" fontId="0" fillId="0" borderId="12" xfId="1" applyNumberFormat="1" applyFont="1" applyBorder="1"/>
    <xf numFmtId="0" fontId="7" fillId="3" borderId="0" xfId="0" applyFont="1" applyFill="1"/>
    <xf numFmtId="164" fontId="0" fillId="0" borderId="2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19</xdr:col>
      <xdr:colOff>384174</xdr:colOff>
      <xdr:row>19</xdr:row>
      <xdr:rowOff>118696</xdr:rowOff>
    </xdr:to>
    <xdr:sp macro="" textlink="">
      <xdr:nvSpPr>
        <xdr:cNvPr id="2" name="Rectangle 1"/>
        <xdr:cNvSpPr>
          <a:spLocks/>
        </xdr:cNvSpPr>
      </xdr:nvSpPr>
      <xdr:spPr>
        <a:xfrm>
          <a:off x="611188" y="0"/>
          <a:ext cx="12496799" cy="3738196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110826</xdr:colOff>
      <xdr:row>0</xdr:row>
      <xdr:rowOff>88900</xdr:rowOff>
    </xdr:from>
    <xdr:to>
      <xdr:col>11</xdr:col>
      <xdr:colOff>30227</xdr:colOff>
      <xdr:row>20</xdr:row>
      <xdr:rowOff>8698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656CF87-9953-40AB-86B8-F67092E57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826" y="88900"/>
          <a:ext cx="6625001" cy="36027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273049</xdr:colOff>
      <xdr:row>19</xdr:row>
      <xdr:rowOff>118696</xdr:rowOff>
    </xdr:to>
    <xdr:sp macro="" textlink="">
      <xdr:nvSpPr>
        <xdr:cNvPr id="3" name="Rectangle 2"/>
        <xdr:cNvSpPr>
          <a:spLocks/>
        </xdr:cNvSpPr>
      </xdr:nvSpPr>
      <xdr:spPr>
        <a:xfrm>
          <a:off x="0" y="0"/>
          <a:ext cx="12496799" cy="3738196"/>
        </a:xfrm>
        <a:prstGeom prst="rect">
          <a:avLst/>
        </a:prstGeom>
        <a:blipFill dpi="0" rotWithShape="1">
          <a:blip xmlns:r="http://schemas.openxmlformats.org/officeDocument/2006/relationships" r:embed="rId2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323849</xdr:colOff>
      <xdr:row>19</xdr:row>
      <xdr:rowOff>118696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96799" cy="3738196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131884</xdr:colOff>
      <xdr:row>9</xdr:row>
      <xdr:rowOff>87923</xdr:rowOff>
    </xdr:from>
    <xdr:to>
      <xdr:col>1</xdr:col>
      <xdr:colOff>532423</xdr:colOff>
      <xdr:row>14</xdr:row>
      <xdr:rowOff>78154</xdr:rowOff>
    </xdr:to>
    <xdr:sp macro="" textlink="">
      <xdr:nvSpPr>
        <xdr:cNvPr id="6" name="Arrow: Curved Right 5">
          <a:extLst>
            <a:ext uri="{FF2B5EF4-FFF2-40B4-BE49-F238E27FC236}">
              <a16:creationId xmlns:a16="http://schemas.microsoft.com/office/drawing/2014/main" xmlns="" id="{5B0DA0FF-3337-4A21-8F7D-002C4BBBDC7E}"/>
            </a:ext>
          </a:extLst>
        </xdr:cNvPr>
        <xdr:cNvSpPr/>
      </xdr:nvSpPr>
      <xdr:spPr>
        <a:xfrm>
          <a:off x="742461" y="1773115"/>
          <a:ext cx="400539" cy="923193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63011</xdr:colOff>
      <xdr:row>19</xdr:row>
      <xdr:rowOff>89388</xdr:rowOff>
    </xdr:to>
    <xdr:sp macro="" textlink="">
      <xdr:nvSpPr>
        <xdr:cNvPr id="3" name="Rectangle 2"/>
        <xdr:cNvSpPr>
          <a:spLocks/>
        </xdr:cNvSpPr>
      </xdr:nvSpPr>
      <xdr:spPr>
        <a:xfrm>
          <a:off x="0" y="0"/>
          <a:ext cx="12496799" cy="3738196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5292</xdr:colOff>
      <xdr:row>14</xdr:row>
      <xdr:rowOff>15522</xdr:rowOff>
    </xdr:from>
    <xdr:to>
      <xdr:col>12</xdr:col>
      <xdr:colOff>337113</xdr:colOff>
      <xdr:row>15</xdr:row>
      <xdr:rowOff>142876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62AAC1D-ABF1-4A03-AA8F-B347D07FE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2375" y="2619022"/>
          <a:ext cx="6443696" cy="31256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273049</xdr:colOff>
      <xdr:row>19</xdr:row>
      <xdr:rowOff>86946</xdr:rowOff>
    </xdr:to>
    <xdr:sp macro="" textlink="">
      <xdr:nvSpPr>
        <xdr:cNvPr id="3" name="Rectangle 2"/>
        <xdr:cNvSpPr>
          <a:spLocks/>
        </xdr:cNvSpPr>
      </xdr:nvSpPr>
      <xdr:spPr>
        <a:xfrm>
          <a:off x="0" y="0"/>
          <a:ext cx="12496799" cy="3738196"/>
        </a:xfrm>
        <a:prstGeom prst="rect">
          <a:avLst/>
        </a:prstGeom>
        <a:blipFill dpi="0" rotWithShape="1">
          <a:blip xmlns:r="http://schemas.openxmlformats.org/officeDocument/2006/relationships" r:embed="rId2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502626</xdr:colOff>
      <xdr:row>19</xdr:row>
      <xdr:rowOff>104042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96799" cy="3738196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21</xdr:col>
      <xdr:colOff>157594</xdr:colOff>
      <xdr:row>19</xdr:row>
      <xdr:rowOff>118696</xdr:rowOff>
    </xdr:to>
    <xdr:sp macro="" textlink="">
      <xdr:nvSpPr>
        <xdr:cNvPr id="2" name="Rectangle 1"/>
        <xdr:cNvSpPr>
          <a:spLocks/>
        </xdr:cNvSpPr>
      </xdr:nvSpPr>
      <xdr:spPr>
        <a:xfrm>
          <a:off x="606136" y="0"/>
          <a:ext cx="12496799" cy="3738196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546587</xdr:colOff>
      <xdr:row>19</xdr:row>
      <xdr:rowOff>118696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96799" cy="3738196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24423</xdr:colOff>
      <xdr:row>16</xdr:row>
      <xdr:rowOff>14656</xdr:rowOff>
    </xdr:from>
    <xdr:to>
      <xdr:col>12</xdr:col>
      <xdr:colOff>14653</xdr:colOff>
      <xdr:row>16</xdr:row>
      <xdr:rowOff>136771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xmlns="" id="{B9DD8122-8FF6-4EAF-85B4-CD6548BFD44E}"/>
            </a:ext>
          </a:extLst>
        </xdr:cNvPr>
        <xdr:cNvSpPr/>
      </xdr:nvSpPr>
      <xdr:spPr>
        <a:xfrm rot="5400000">
          <a:off x="7138865" y="1829291"/>
          <a:ext cx="122115" cy="243253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19538</xdr:colOff>
      <xdr:row>16</xdr:row>
      <xdr:rowOff>136771</xdr:rowOff>
    </xdr:from>
    <xdr:to>
      <xdr:col>10</xdr:col>
      <xdr:colOff>19537</xdr:colOff>
      <xdr:row>23</xdr:row>
      <xdr:rowOff>87923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8F1921C3-A7FF-4331-8783-016D0EFF44B8}"/>
            </a:ext>
          </a:extLst>
        </xdr:cNvPr>
        <xdr:cNvCxnSpPr>
          <a:stCxn id="2" idx="1"/>
        </xdr:cNvCxnSpPr>
      </xdr:nvCxnSpPr>
      <xdr:spPr>
        <a:xfrm flipH="1">
          <a:off x="5978769" y="3106617"/>
          <a:ext cx="1221153" cy="12504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546587</xdr:colOff>
      <xdr:row>19</xdr:row>
      <xdr:rowOff>118696</xdr:rowOff>
    </xdr:to>
    <xdr:sp macro="" textlink="">
      <xdr:nvSpPr>
        <xdr:cNvPr id="5" name="Rectangle 4"/>
        <xdr:cNvSpPr>
          <a:spLocks/>
        </xdr:cNvSpPr>
      </xdr:nvSpPr>
      <xdr:spPr>
        <a:xfrm>
          <a:off x="0" y="0"/>
          <a:ext cx="12496799" cy="3738196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65"/>
  <sheetViews>
    <sheetView topLeftCell="B1" zoomScale="120" zoomScaleNormal="120" workbookViewId="0">
      <selection activeCell="M33" sqref="M33"/>
    </sheetView>
  </sheetViews>
  <sheetFormatPr defaultRowHeight="15" x14ac:dyDescent="0.25"/>
  <cols>
    <col min="3" max="3" width="19.42578125" bestFit="1" customWidth="1"/>
    <col min="4" max="4" width="9.140625" bestFit="1" customWidth="1"/>
    <col min="5" max="5" width="12.42578125" customWidth="1"/>
    <col min="6" max="6" width="11" style="46" customWidth="1"/>
    <col min="7" max="8" width="9.140625" bestFit="1" customWidth="1"/>
    <col min="9" max="9" width="10.5703125" customWidth="1"/>
    <col min="10" max="11" width="9.140625" bestFit="1" customWidth="1"/>
  </cols>
  <sheetData>
    <row r="2" spans="3:11" x14ac:dyDescent="0.25">
      <c r="C2" s="5"/>
      <c r="D2" s="9">
        <v>2020</v>
      </c>
      <c r="E2" s="9">
        <v>2021</v>
      </c>
      <c r="F2" s="80">
        <v>2022</v>
      </c>
      <c r="G2" s="5">
        <v>2023</v>
      </c>
      <c r="H2" s="5">
        <v>2024</v>
      </c>
      <c r="I2" s="5">
        <v>2025</v>
      </c>
      <c r="J2" s="5">
        <v>2026</v>
      </c>
      <c r="K2" s="5">
        <v>2027</v>
      </c>
    </row>
    <row r="3" spans="3:11" x14ac:dyDescent="0.25">
      <c r="C3" t="s">
        <v>0</v>
      </c>
      <c r="D3" s="10"/>
      <c r="E3" s="10"/>
      <c r="F3" s="81"/>
    </row>
    <row r="4" spans="3:11" x14ac:dyDescent="0.25">
      <c r="C4" t="s">
        <v>1</v>
      </c>
      <c r="D4" s="11">
        <v>100</v>
      </c>
      <c r="E4" s="11">
        <v>100</v>
      </c>
      <c r="F4" s="82">
        <v>100</v>
      </c>
      <c r="G4" s="2">
        <v>125</v>
      </c>
      <c r="H4" s="2">
        <v>125</v>
      </c>
      <c r="I4" s="2">
        <v>125</v>
      </c>
      <c r="J4" s="2">
        <v>125</v>
      </c>
      <c r="K4" s="2">
        <v>125</v>
      </c>
    </row>
    <row r="5" spans="3:11" x14ac:dyDescent="0.25">
      <c r="C5" t="s">
        <v>2</v>
      </c>
      <c r="D5" s="11">
        <v>100</v>
      </c>
      <c r="E5" s="11">
        <v>100</v>
      </c>
      <c r="F5" s="82">
        <v>173</v>
      </c>
      <c r="G5" s="2">
        <v>173</v>
      </c>
      <c r="H5" s="2">
        <v>173</v>
      </c>
      <c r="I5" s="2">
        <v>173</v>
      </c>
      <c r="J5" s="2">
        <v>173</v>
      </c>
      <c r="K5" s="2">
        <v>173</v>
      </c>
    </row>
    <row r="6" spans="3:11" x14ac:dyDescent="0.25">
      <c r="C6" t="s">
        <v>3</v>
      </c>
      <c r="D6" s="11">
        <v>1423</v>
      </c>
      <c r="E6" s="11">
        <v>1696</v>
      </c>
      <c r="F6" s="82">
        <v>1969</v>
      </c>
      <c r="G6" s="1">
        <v>1919</v>
      </c>
      <c r="H6" s="1">
        <v>1985</v>
      </c>
      <c r="I6" s="1">
        <v>2049</v>
      </c>
      <c r="J6" s="1">
        <v>2129</v>
      </c>
      <c r="K6" s="1">
        <v>2227</v>
      </c>
    </row>
    <row r="7" spans="3:11" x14ac:dyDescent="0.25">
      <c r="C7" s="3" t="s">
        <v>4</v>
      </c>
      <c r="D7" s="12">
        <f t="shared" ref="D7" si="0">SUM(D4:D6)</f>
        <v>1623</v>
      </c>
      <c r="E7" s="12">
        <f>SUM(E4:E6)</f>
        <v>1896</v>
      </c>
      <c r="F7" s="83">
        <f>SUM(F4:F6)</f>
        <v>2242</v>
      </c>
      <c r="G7" s="8">
        <f>SUM(G4:G6)</f>
        <v>2217</v>
      </c>
      <c r="H7" s="8">
        <f t="shared" ref="H7:K7" si="1">SUM(H4:H6)</f>
        <v>2283</v>
      </c>
      <c r="I7" s="8">
        <f t="shared" si="1"/>
        <v>2347</v>
      </c>
      <c r="J7" s="8">
        <f t="shared" si="1"/>
        <v>2427</v>
      </c>
      <c r="K7" s="8">
        <f t="shared" si="1"/>
        <v>2525</v>
      </c>
    </row>
    <row r="8" spans="3:11" x14ac:dyDescent="0.25">
      <c r="D8" s="10"/>
      <c r="E8" s="10"/>
      <c r="F8" s="81"/>
    </row>
    <row r="9" spans="3:11" x14ac:dyDescent="0.25">
      <c r="C9" t="s">
        <v>5</v>
      </c>
      <c r="D9" s="10"/>
      <c r="E9" s="10"/>
      <c r="F9" s="81"/>
    </row>
    <row r="10" spans="3:11" x14ac:dyDescent="0.25">
      <c r="C10" t="s">
        <v>6</v>
      </c>
      <c r="D10" s="10">
        <v>26</v>
      </c>
      <c r="E10" s="10">
        <v>156</v>
      </c>
      <c r="F10" s="81">
        <v>536</v>
      </c>
      <c r="G10">
        <v>425</v>
      </c>
      <c r="H10">
        <v>365</v>
      </c>
      <c r="I10" s="1">
        <v>342</v>
      </c>
      <c r="J10" s="1">
        <v>315</v>
      </c>
      <c r="K10" s="1">
        <v>293</v>
      </c>
    </row>
    <row r="11" spans="3:11" x14ac:dyDescent="0.25">
      <c r="C11" t="s">
        <v>6</v>
      </c>
      <c r="D11" s="10">
        <v>45</v>
      </c>
      <c r="E11" s="10">
        <v>85</v>
      </c>
      <c r="F11" s="81">
        <v>145</v>
      </c>
      <c r="G11">
        <v>225</v>
      </c>
      <c r="H11">
        <v>275</v>
      </c>
      <c r="I11">
        <v>285</v>
      </c>
      <c r="J11">
        <v>320</v>
      </c>
      <c r="K11" s="1">
        <v>345</v>
      </c>
    </row>
    <row r="12" spans="3:11" x14ac:dyDescent="0.25">
      <c r="C12" s="3" t="s">
        <v>7</v>
      </c>
      <c r="D12" s="13">
        <f t="shared" ref="D12" si="2">SUM(D10:D11)</f>
        <v>71</v>
      </c>
      <c r="E12" s="13">
        <f>SUM(E10:E11)</f>
        <v>241</v>
      </c>
      <c r="F12" s="84">
        <f>SUM(F10:F11)</f>
        <v>681</v>
      </c>
      <c r="G12" s="3">
        <f>SUM(G10:G11)</f>
        <v>650</v>
      </c>
      <c r="H12" s="3">
        <f t="shared" ref="H12:K12" si="3">SUM(H10:H11)</f>
        <v>640</v>
      </c>
      <c r="I12" s="3">
        <f t="shared" si="3"/>
        <v>627</v>
      </c>
      <c r="J12" s="3">
        <f t="shared" si="3"/>
        <v>635</v>
      </c>
      <c r="K12" s="3">
        <f t="shared" si="3"/>
        <v>638</v>
      </c>
    </row>
    <row r="13" spans="3:11" x14ac:dyDescent="0.25">
      <c r="D13" s="10"/>
      <c r="E13" s="10"/>
      <c r="F13" s="81"/>
    </row>
    <row r="14" spans="3:11" x14ac:dyDescent="0.25">
      <c r="C14" s="6" t="s">
        <v>8</v>
      </c>
      <c r="D14" s="14">
        <f>D12/D7</f>
        <v>4.3746149106592733E-2</v>
      </c>
      <c r="E14" s="14">
        <f>E12/E7</f>
        <v>0.12710970464135021</v>
      </c>
      <c r="F14" s="85">
        <f>F12/F7</f>
        <v>0.30374665477252455</v>
      </c>
      <c r="G14" s="7">
        <f>G12/G7</f>
        <v>0.29318899413622013</v>
      </c>
      <c r="H14" s="7">
        <f t="shared" ref="H14:K14" si="4">H12/H7</f>
        <v>0.28033289531318439</v>
      </c>
      <c r="I14" s="7">
        <f t="shared" si="4"/>
        <v>0.26714955262036644</v>
      </c>
      <c r="J14" s="7">
        <f t="shared" si="4"/>
        <v>0.261639884631232</v>
      </c>
      <c r="K14" s="7">
        <f t="shared" si="4"/>
        <v>0.25267326732673268</v>
      </c>
    </row>
    <row r="16" spans="3:11" x14ac:dyDescent="0.25">
      <c r="G16" s="1"/>
      <c r="I16" t="s">
        <v>9</v>
      </c>
    </row>
    <row r="17" spans="3:11" x14ac:dyDescent="0.25">
      <c r="C17" s="15" t="s">
        <v>10</v>
      </c>
      <c r="D17" s="6" t="s">
        <v>11</v>
      </c>
      <c r="E17" s="6"/>
      <c r="I17" t="s">
        <v>12</v>
      </c>
    </row>
    <row r="18" spans="3:11" x14ac:dyDescent="0.25">
      <c r="C18" s="1" t="s">
        <v>13</v>
      </c>
      <c r="D18" t="s">
        <v>14</v>
      </c>
      <c r="E18" t="s">
        <v>15</v>
      </c>
      <c r="I18" t="s">
        <v>16</v>
      </c>
    </row>
    <row r="19" spans="3:11" x14ac:dyDescent="0.25">
      <c r="C19" s="1"/>
      <c r="I19" t="s">
        <v>17</v>
      </c>
    </row>
    <row r="20" spans="3:11" x14ac:dyDescent="0.25">
      <c r="C20" t="s">
        <v>18</v>
      </c>
      <c r="E20" s="66" t="s">
        <v>19</v>
      </c>
      <c r="F20" s="86"/>
    </row>
    <row r="21" spans="3:11" x14ac:dyDescent="0.25">
      <c r="E21" s="66"/>
      <c r="F21" s="87" t="s">
        <v>20</v>
      </c>
    </row>
    <row r="23" spans="3:11" x14ac:dyDescent="0.25">
      <c r="E23" t="s">
        <v>21</v>
      </c>
      <c r="F23" s="46">
        <v>1</v>
      </c>
    </row>
    <row r="24" spans="3:11" x14ac:dyDescent="0.25">
      <c r="E24" t="s">
        <v>22</v>
      </c>
      <c r="F24" s="88">
        <v>0.14000000000000001</v>
      </c>
    </row>
    <row r="25" spans="3:11" x14ac:dyDescent="0.25">
      <c r="E25" t="s">
        <v>23</v>
      </c>
      <c r="F25" s="88">
        <v>0.86</v>
      </c>
    </row>
    <row r="26" spans="3:11" x14ac:dyDescent="0.25">
      <c r="E26" s="6" t="s">
        <v>24</v>
      </c>
      <c r="F26" s="89">
        <f>F23*((F25/(F25+F24*(1-0.24))))</f>
        <v>0.88990066225165554</v>
      </c>
    </row>
    <row r="27" spans="3:11" x14ac:dyDescent="0.25">
      <c r="G27" s="5">
        <v>2023</v>
      </c>
      <c r="H27" s="5">
        <v>2024</v>
      </c>
      <c r="I27" s="5">
        <v>2025</v>
      </c>
      <c r="J27" s="5">
        <v>2026</v>
      </c>
      <c r="K27" s="5">
        <v>2027</v>
      </c>
    </row>
    <row r="28" spans="3:11" x14ac:dyDescent="0.25">
      <c r="E28" t="s">
        <v>23</v>
      </c>
      <c r="G28" s="2">
        <f>G7</f>
        <v>2217</v>
      </c>
      <c r="H28" s="2">
        <f t="shared" ref="H28:K28" si="5">H7</f>
        <v>2283</v>
      </c>
      <c r="I28" s="2">
        <f t="shared" si="5"/>
        <v>2347</v>
      </c>
      <c r="J28" s="2">
        <f t="shared" si="5"/>
        <v>2427</v>
      </c>
      <c r="K28" s="2">
        <f t="shared" si="5"/>
        <v>2525</v>
      </c>
    </row>
    <row r="29" spans="3:11" x14ac:dyDescent="0.25">
      <c r="E29" t="s">
        <v>22</v>
      </c>
      <c r="G29" s="2">
        <f>G12</f>
        <v>650</v>
      </c>
      <c r="H29" s="2">
        <f t="shared" ref="H29:K29" si="6">H12</f>
        <v>640</v>
      </c>
      <c r="I29" s="2">
        <f t="shared" si="6"/>
        <v>627</v>
      </c>
      <c r="J29" s="2">
        <f t="shared" si="6"/>
        <v>635</v>
      </c>
      <c r="K29" s="2">
        <f t="shared" si="6"/>
        <v>638</v>
      </c>
    </row>
    <row r="30" spans="3:11" x14ac:dyDescent="0.25">
      <c r="G30" s="8">
        <f>G28+G29</f>
        <v>2867</v>
      </c>
      <c r="H30" s="8">
        <f t="shared" ref="H30:K30" si="7">H28+H29</f>
        <v>2923</v>
      </c>
      <c r="I30" s="8">
        <f t="shared" si="7"/>
        <v>2974</v>
      </c>
      <c r="J30" s="8">
        <f t="shared" si="7"/>
        <v>3062</v>
      </c>
      <c r="K30" s="8">
        <f t="shared" si="7"/>
        <v>3163</v>
      </c>
    </row>
    <row r="31" spans="3:11" x14ac:dyDescent="0.25">
      <c r="E31" s="5" t="s">
        <v>25</v>
      </c>
      <c r="F31" s="90"/>
      <c r="G31" s="20">
        <f>G28/G30</f>
        <v>0.77328217649110564</v>
      </c>
      <c r="H31" s="20">
        <f t="shared" ref="H31:K31" si="8">H28/H30</f>
        <v>0.78104686965446457</v>
      </c>
      <c r="I31" s="20">
        <f t="shared" si="8"/>
        <v>0.78917283120376602</v>
      </c>
      <c r="J31" s="20">
        <f t="shared" si="8"/>
        <v>0.79261920313520573</v>
      </c>
      <c r="K31" s="20">
        <f t="shared" si="8"/>
        <v>0.7982927600379387</v>
      </c>
    </row>
    <row r="32" spans="3:11" x14ac:dyDescent="0.25">
      <c r="E32" s="5" t="s">
        <v>26</v>
      </c>
      <c r="F32" s="90"/>
      <c r="G32" s="20">
        <f>G29/G30</f>
        <v>0.22671782350889433</v>
      </c>
      <c r="H32" s="20">
        <f t="shared" ref="H32:K32" si="9">H29/H30</f>
        <v>0.2189531303455354</v>
      </c>
      <c r="I32" s="20">
        <f t="shared" si="9"/>
        <v>0.21082716879623403</v>
      </c>
      <c r="J32" s="20">
        <f t="shared" si="9"/>
        <v>0.20738079686479424</v>
      </c>
      <c r="K32" s="20">
        <f t="shared" si="9"/>
        <v>0.20170723996206133</v>
      </c>
    </row>
    <row r="33" spans="5:14" x14ac:dyDescent="0.25">
      <c r="E33" t="s">
        <v>21</v>
      </c>
      <c r="G33" s="19">
        <f>0.89/(G31/(G31+G32*(1-0.24)))</f>
        <v>1.0883130356337394</v>
      </c>
      <c r="H33" s="19">
        <f t="shared" ref="H33:K33" si="10">0.89/(H31/(H31+H32*(1-0.24)))</f>
        <v>1.0796171703898378</v>
      </c>
      <c r="I33" s="19">
        <f t="shared" si="10"/>
        <v>1.0706999573924159</v>
      </c>
      <c r="J33" s="19">
        <f t="shared" si="10"/>
        <v>1.0669732179645655</v>
      </c>
      <c r="K33" s="19">
        <f t="shared" si="10"/>
        <v>1.0609081980198019</v>
      </c>
    </row>
    <row r="34" spans="5:14" x14ac:dyDescent="0.25">
      <c r="E34" s="5" t="s">
        <v>27</v>
      </c>
      <c r="F34" s="90"/>
      <c r="G34" s="21">
        <f>7.9+(8*G33)</f>
        <v>16.606504285069917</v>
      </c>
      <c r="H34" s="21">
        <f t="shared" ref="H34:K34" si="11">7.9+(8*H33)</f>
        <v>16.536937363118703</v>
      </c>
      <c r="I34" s="21">
        <f t="shared" si="11"/>
        <v>16.465599659139329</v>
      </c>
      <c r="J34" s="21">
        <f t="shared" si="11"/>
        <v>16.435785743716522</v>
      </c>
      <c r="K34" s="21">
        <f t="shared" si="11"/>
        <v>16.387265584158413</v>
      </c>
    </row>
    <row r="35" spans="5:14" x14ac:dyDescent="0.25">
      <c r="E35" s="5" t="s">
        <v>28</v>
      </c>
      <c r="F35" s="90"/>
      <c r="G35" s="5">
        <f>7*(1-0.24)</f>
        <v>5.32</v>
      </c>
      <c r="H35" s="5">
        <f t="shared" ref="H35:I35" si="12">7*(1-0.24)</f>
        <v>5.32</v>
      </c>
      <c r="I35" s="5">
        <f t="shared" si="12"/>
        <v>5.32</v>
      </c>
      <c r="J35" s="5">
        <f>8*(1-0.24)</f>
        <v>6.08</v>
      </c>
      <c r="K35" s="5">
        <f>8*(1-0.24)</f>
        <v>6.08</v>
      </c>
    </row>
    <row r="36" spans="5:14" x14ac:dyDescent="0.25">
      <c r="E36" s="5" t="s">
        <v>29</v>
      </c>
      <c r="F36" s="91"/>
      <c r="G36" s="22">
        <f>(G31*G34)+(G32*G35)</f>
        <v>14.047652598535056</v>
      </c>
      <c r="H36" s="22">
        <f t="shared" ref="H36:K36" si="13">(H31*H34)+(H32*H35)</f>
        <v>14.080953814574066</v>
      </c>
      <c r="I36" s="22">
        <f t="shared" si="13"/>
        <v>14.115804438466714</v>
      </c>
      <c r="J36" s="22">
        <f t="shared" si="13"/>
        <v>14.288194644023514</v>
      </c>
      <c r="K36" s="22">
        <f t="shared" si="13"/>
        <v>14.308215491621876</v>
      </c>
    </row>
    <row r="38" spans="5:14" x14ac:dyDescent="0.25">
      <c r="E38" s="5" t="s">
        <v>30</v>
      </c>
    </row>
    <row r="40" spans="5:14" x14ac:dyDescent="0.25">
      <c r="E40" s="5" t="s">
        <v>31</v>
      </c>
    </row>
    <row r="41" spans="5:14" x14ac:dyDescent="0.25">
      <c r="G41" s="5">
        <v>2023</v>
      </c>
      <c r="H41" s="5">
        <v>2024</v>
      </c>
      <c r="I41" s="5">
        <v>2025</v>
      </c>
      <c r="J41" s="5">
        <v>2026</v>
      </c>
      <c r="K41" s="5">
        <v>2027</v>
      </c>
    </row>
    <row r="42" spans="5:14" x14ac:dyDescent="0.25">
      <c r="E42" t="s">
        <v>32</v>
      </c>
      <c r="G42">
        <v>42</v>
      </c>
      <c r="H42">
        <v>180</v>
      </c>
      <c r="I42">
        <v>206</v>
      </c>
      <c r="J42">
        <v>234</v>
      </c>
      <c r="K42">
        <v>263</v>
      </c>
    </row>
    <row r="43" spans="5:14" x14ac:dyDescent="0.25">
      <c r="E43" t="s">
        <v>33</v>
      </c>
      <c r="G43" s="16">
        <v>5</v>
      </c>
      <c r="H43" s="16">
        <v>4</v>
      </c>
      <c r="I43" s="16">
        <v>3</v>
      </c>
      <c r="J43" s="16">
        <v>3</v>
      </c>
      <c r="K43" s="16">
        <v>3</v>
      </c>
    </row>
    <row r="44" spans="5:14" x14ac:dyDescent="0.25">
      <c r="E44" t="s">
        <v>34</v>
      </c>
      <c r="G44">
        <f>G42+G43</f>
        <v>47</v>
      </c>
      <c r="H44">
        <f t="shared" ref="H44:K44" si="14">H42+H43</f>
        <v>184</v>
      </c>
      <c r="I44">
        <f t="shared" si="14"/>
        <v>209</v>
      </c>
      <c r="J44">
        <f t="shared" si="14"/>
        <v>237</v>
      </c>
      <c r="K44">
        <f t="shared" si="14"/>
        <v>266</v>
      </c>
      <c r="M44" s="25" t="s">
        <v>35</v>
      </c>
      <c r="N44" s="26" t="s">
        <v>36</v>
      </c>
    </row>
    <row r="45" spans="5:14" x14ac:dyDescent="0.25">
      <c r="E45" t="s">
        <v>37</v>
      </c>
      <c r="F45" s="88">
        <v>0.05</v>
      </c>
      <c r="G45">
        <f>1.05</f>
        <v>1.05</v>
      </c>
      <c r="H45">
        <f>1.05^2</f>
        <v>1.1025</v>
      </c>
      <c r="I45">
        <f>1.05^3</f>
        <v>1.1576250000000001</v>
      </c>
      <c r="J45">
        <f>1.05^4</f>
        <v>1.21550625</v>
      </c>
      <c r="K45">
        <f>1.05^5</f>
        <v>1.2762815625000001</v>
      </c>
      <c r="M45" s="25"/>
      <c r="N45" s="25" t="s">
        <v>38</v>
      </c>
    </row>
    <row r="46" spans="5:14" x14ac:dyDescent="0.25">
      <c r="E46" t="s">
        <v>39</v>
      </c>
      <c r="G46" s="18">
        <f>G44*G45</f>
        <v>49.35</v>
      </c>
      <c r="H46" s="18">
        <f t="shared" ref="H46:J46" si="15">H44*H45</f>
        <v>202.86</v>
      </c>
      <c r="I46" s="18">
        <f t="shared" si="15"/>
        <v>241.94362500000003</v>
      </c>
      <c r="J46" s="18">
        <f t="shared" si="15"/>
        <v>288.07498125000001</v>
      </c>
      <c r="K46" s="18">
        <f>K44*K45</f>
        <v>339.49089562500001</v>
      </c>
    </row>
    <row r="48" spans="5:14" x14ac:dyDescent="0.25">
      <c r="E48" t="s">
        <v>40</v>
      </c>
      <c r="G48" s="18">
        <v>35</v>
      </c>
      <c r="H48" s="18">
        <v>35</v>
      </c>
      <c r="I48" s="18">
        <v>35</v>
      </c>
      <c r="J48" s="18">
        <v>35</v>
      </c>
      <c r="K48" s="18">
        <v>35</v>
      </c>
    </row>
    <row r="49" spans="5:11" x14ac:dyDescent="0.25">
      <c r="E49" t="s">
        <v>41</v>
      </c>
      <c r="G49" s="18">
        <f>-Sheet3!E27</f>
        <v>-69.850000000000136</v>
      </c>
      <c r="H49" s="18">
        <f>-Sheet3!F27</f>
        <v>-115.61749999999984</v>
      </c>
      <c r="I49" s="18">
        <f>-Sheet3!G27</f>
        <v>-39.67766000000006</v>
      </c>
      <c r="J49" s="18">
        <f>-Sheet3!H27</f>
        <v>-48.910460519999788</v>
      </c>
      <c r="K49" s="18">
        <f>-Sheet3!I27</f>
        <v>-63.534972324499904</v>
      </c>
    </row>
    <row r="50" spans="5:11" x14ac:dyDescent="0.25">
      <c r="E50" t="s">
        <v>42</v>
      </c>
      <c r="G50" s="18">
        <f>-90*1.05</f>
        <v>-94.5</v>
      </c>
      <c r="H50" s="18">
        <f>-40*H45</f>
        <v>-44.1</v>
      </c>
      <c r="I50" s="18">
        <f>-60*I45</f>
        <v>-69.45750000000001</v>
      </c>
      <c r="J50" s="18">
        <f>-60*J45</f>
        <v>-72.930374999999998</v>
      </c>
      <c r="K50" s="18">
        <f>-60*K45</f>
        <v>-76.576893750000011</v>
      </c>
    </row>
    <row r="51" spans="5:11" x14ac:dyDescent="0.25">
      <c r="E51" t="s">
        <v>43</v>
      </c>
      <c r="G51" s="24">
        <v>0</v>
      </c>
      <c r="H51" s="24">
        <f>-Sheet3!F33</f>
        <v>-32.567999999999998</v>
      </c>
      <c r="I51" s="24">
        <f>-Sheet3!G33</f>
        <v>-32.64</v>
      </c>
      <c r="J51" s="24">
        <f>-Sheet3!H33</f>
        <v>-37.199999999999996</v>
      </c>
      <c r="K51" s="24">
        <f>-Sheet3!I33</f>
        <v>-42.239999999999995</v>
      </c>
    </row>
    <row r="52" spans="5:11" x14ac:dyDescent="0.25">
      <c r="G52" s="18">
        <f>SUM(G46:G51)</f>
        <v>-80.000000000000142</v>
      </c>
      <c r="H52" s="18">
        <f t="shared" ref="H52:K52" si="16">SUM(H46:H51)</f>
        <v>45.574500000000185</v>
      </c>
      <c r="I52" s="18">
        <f t="shared" si="16"/>
        <v>135.16846499999991</v>
      </c>
      <c r="J52" s="18">
        <f t="shared" si="16"/>
        <v>164.03414573000023</v>
      </c>
      <c r="K52" s="18">
        <f t="shared" si="16"/>
        <v>192.13902955050008</v>
      </c>
    </row>
    <row r="53" spans="5:11" x14ac:dyDescent="0.25">
      <c r="E53" t="s">
        <v>44</v>
      </c>
      <c r="G53" s="24">
        <v>0</v>
      </c>
      <c r="H53" s="24">
        <v>0</v>
      </c>
      <c r="I53" s="24">
        <v>0</v>
      </c>
      <c r="J53" s="24">
        <v>0</v>
      </c>
      <c r="K53" s="24">
        <f>(K52*(1+0.05))/(14%-5%)</f>
        <v>2241.6220114225007</v>
      </c>
    </row>
    <row r="54" spans="5:11" x14ac:dyDescent="0.25">
      <c r="E54" t="s">
        <v>45</v>
      </c>
      <c r="G54" s="4">
        <f>G52+G53</f>
        <v>-80.000000000000142</v>
      </c>
      <c r="H54" s="4">
        <f t="shared" ref="H54:K54" si="17">H52+H53</f>
        <v>45.574500000000185</v>
      </c>
      <c r="I54" s="4">
        <f t="shared" si="17"/>
        <v>135.16846499999991</v>
      </c>
      <c r="J54" s="4">
        <f t="shared" si="17"/>
        <v>164.03414573000023</v>
      </c>
      <c r="K54" s="4">
        <f t="shared" si="17"/>
        <v>2433.7610409730009</v>
      </c>
    </row>
    <row r="55" spans="5:11" x14ac:dyDescent="0.25">
      <c r="E55" t="s">
        <v>46</v>
      </c>
      <c r="G55" s="27">
        <f>1/1.14</f>
        <v>0.87719298245614041</v>
      </c>
      <c r="H55" s="27">
        <f>G55/1.14</f>
        <v>0.76946752847029865</v>
      </c>
      <c r="I55" s="27">
        <f t="shared" ref="I55:K55" si="18">H55/1.14</f>
        <v>0.67497151620201645</v>
      </c>
      <c r="J55" s="27">
        <f t="shared" si="18"/>
        <v>0.59208027737018987</v>
      </c>
      <c r="K55" s="27">
        <f t="shared" si="18"/>
        <v>0.51936866435981577</v>
      </c>
    </row>
    <row r="56" spans="5:11" x14ac:dyDescent="0.25">
      <c r="E56" t="s">
        <v>47</v>
      </c>
      <c r="G56">
        <f>G54*G55</f>
        <v>-70.175438596491361</v>
      </c>
      <c r="H56">
        <f t="shared" ref="H56:K56" si="19">H54*H55</f>
        <v>35.068097876269768</v>
      </c>
      <c r="I56">
        <f t="shared" si="19"/>
        <v>91.234863763749132</v>
      </c>
      <c r="J56">
        <f t="shared" si="19"/>
        <v>97.121382502000685</v>
      </c>
      <c r="K56">
        <f t="shared" si="19"/>
        <v>1264.0192212211023</v>
      </c>
    </row>
    <row r="57" spans="5:11" x14ac:dyDescent="0.25">
      <c r="E57" t="s">
        <v>48</v>
      </c>
      <c r="G57" s="18">
        <f>G56+H56+I56+J56+K56</f>
        <v>1417.2681267666305</v>
      </c>
    </row>
    <row r="58" spans="5:11" x14ac:dyDescent="0.25">
      <c r="E58" t="s">
        <v>49</v>
      </c>
      <c r="G58" s="18">
        <v>-681</v>
      </c>
    </row>
    <row r="59" spans="5:11" x14ac:dyDescent="0.25">
      <c r="E59" t="s">
        <v>50</v>
      </c>
      <c r="G59" s="24">
        <f>326-45</f>
        <v>281</v>
      </c>
    </row>
    <row r="60" spans="5:11" x14ac:dyDescent="0.25">
      <c r="E60" t="s">
        <v>51</v>
      </c>
      <c r="G60" s="18">
        <f>SUM(G57:G59)</f>
        <v>1017.2681267666305</v>
      </c>
    </row>
    <row r="61" spans="5:11" x14ac:dyDescent="0.25">
      <c r="E61" t="s">
        <v>52</v>
      </c>
      <c r="G61" s="18">
        <v>8</v>
      </c>
    </row>
    <row r="62" spans="5:11" x14ac:dyDescent="0.25">
      <c r="E62" t="s">
        <v>53</v>
      </c>
      <c r="G62" s="18">
        <f>G60/G61</f>
        <v>127.15851584582882</v>
      </c>
      <c r="I62" s="18">
        <f>2000000*130</f>
        <v>260000000</v>
      </c>
    </row>
    <row r="63" spans="5:11" x14ac:dyDescent="0.25">
      <c r="E63" t="s">
        <v>54</v>
      </c>
      <c r="G63" s="4">
        <f>G62*0.9</f>
        <v>114.44266426124594</v>
      </c>
      <c r="I63">
        <f>13*20</f>
        <v>260</v>
      </c>
    </row>
    <row r="65" spans="5:5" x14ac:dyDescent="0.25">
      <c r="E65" t="s">
        <v>55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I33"/>
  <sheetViews>
    <sheetView zoomScale="120" zoomScaleNormal="120" workbookViewId="0">
      <selection sqref="A1:XFD1048576"/>
    </sheetView>
  </sheetViews>
  <sheetFormatPr defaultRowHeight="15" x14ac:dyDescent="0.25"/>
  <sheetData>
    <row r="22" spans="3:9" x14ac:dyDescent="0.25">
      <c r="D22" t="s">
        <v>56</v>
      </c>
    </row>
    <row r="23" spans="3:9" x14ac:dyDescent="0.25">
      <c r="D23">
        <v>2022</v>
      </c>
      <c r="E23" s="5">
        <v>2023</v>
      </c>
      <c r="F23" s="5">
        <v>2024</v>
      </c>
      <c r="G23" s="5">
        <v>2025</v>
      </c>
      <c r="H23" s="5">
        <v>2026</v>
      </c>
      <c r="I23" s="5">
        <v>2027</v>
      </c>
    </row>
    <row r="24" spans="3:9" x14ac:dyDescent="0.25">
      <c r="C24" t="s">
        <v>57</v>
      </c>
      <c r="D24">
        <v>955</v>
      </c>
      <c r="E24">
        <v>995</v>
      </c>
      <c r="F24">
        <v>1075</v>
      </c>
      <c r="G24">
        <v>1080</v>
      </c>
      <c r="H24">
        <v>1092</v>
      </c>
      <c r="I24">
        <v>1115</v>
      </c>
    </row>
    <row r="25" spans="3:9" x14ac:dyDescent="0.25">
      <c r="C25" t="s">
        <v>37</v>
      </c>
      <c r="D25">
        <v>1</v>
      </c>
      <c r="E25">
        <v>1.03</v>
      </c>
      <c r="F25">
        <f>1.03^2</f>
        <v>1.0609</v>
      </c>
      <c r="G25">
        <f>1.03^3</f>
        <v>1.092727</v>
      </c>
      <c r="H25">
        <f>1.03^4</f>
        <v>1.1255088099999999</v>
      </c>
      <c r="I25">
        <f>1.03^5</f>
        <v>1.1592740742999998</v>
      </c>
    </row>
    <row r="26" spans="3:9" x14ac:dyDescent="0.25">
      <c r="D26">
        <f>D24*D25</f>
        <v>955</v>
      </c>
      <c r="E26">
        <f>E24*E25</f>
        <v>1024.8500000000001</v>
      </c>
      <c r="F26">
        <f t="shared" ref="F26:I26" si="0">F24*F25</f>
        <v>1140.4675</v>
      </c>
      <c r="G26">
        <f t="shared" si="0"/>
        <v>1180.14516</v>
      </c>
      <c r="H26">
        <f t="shared" si="0"/>
        <v>1229.0556205199998</v>
      </c>
      <c r="I26">
        <f t="shared" si="0"/>
        <v>1292.5905928444997</v>
      </c>
    </row>
    <row r="27" spans="3:9" x14ac:dyDescent="0.25">
      <c r="C27" t="s">
        <v>58</v>
      </c>
      <c r="E27" s="18">
        <f>E26-D26</f>
        <v>69.850000000000136</v>
      </c>
      <c r="F27" s="18">
        <f t="shared" ref="F27:I27" si="1">F26-E26</f>
        <v>115.61749999999984</v>
      </c>
      <c r="G27" s="18">
        <f t="shared" si="1"/>
        <v>39.67766000000006</v>
      </c>
      <c r="H27" s="18">
        <f t="shared" si="1"/>
        <v>48.910460519999788</v>
      </c>
      <c r="I27" s="18">
        <f t="shared" si="1"/>
        <v>63.534972324499904</v>
      </c>
    </row>
    <row r="29" spans="3:9" x14ac:dyDescent="0.25">
      <c r="E29" s="5">
        <v>2023</v>
      </c>
      <c r="F29" s="5">
        <v>2024</v>
      </c>
      <c r="G29" s="5">
        <v>2025</v>
      </c>
      <c r="H29" s="5">
        <v>2026</v>
      </c>
      <c r="I29" s="5">
        <v>2027</v>
      </c>
    </row>
    <row r="30" spans="3:9" x14ac:dyDescent="0.25">
      <c r="D30" t="s">
        <v>59</v>
      </c>
      <c r="E30" s="18">
        <v>-0.5</v>
      </c>
      <c r="F30" s="18">
        <v>136.19999999999999</v>
      </c>
      <c r="G30" s="18">
        <v>136</v>
      </c>
      <c r="H30" s="18">
        <v>155</v>
      </c>
      <c r="I30" s="18">
        <v>176</v>
      </c>
    </row>
    <row r="31" spans="3:9" x14ac:dyDescent="0.25">
      <c r="F31" s="23">
        <f>E30</f>
        <v>-0.5</v>
      </c>
      <c r="G31" s="16"/>
      <c r="H31" s="16"/>
      <c r="I31" s="16"/>
    </row>
    <row r="32" spans="3:9" x14ac:dyDescent="0.25">
      <c r="F32" s="4">
        <f>F30+F31</f>
        <v>135.69999999999999</v>
      </c>
      <c r="G32" s="4">
        <f t="shared" ref="G32:I32" si="2">G30+G31</f>
        <v>136</v>
      </c>
      <c r="H32" s="4">
        <f t="shared" si="2"/>
        <v>155</v>
      </c>
      <c r="I32" s="4">
        <f t="shared" si="2"/>
        <v>176</v>
      </c>
    </row>
    <row r="33" spans="4:9" x14ac:dyDescent="0.25">
      <c r="D33" t="s">
        <v>60</v>
      </c>
      <c r="F33" s="4">
        <f>F32*24%</f>
        <v>32.567999999999998</v>
      </c>
      <c r="G33" s="4">
        <f t="shared" ref="G33:I33" si="3">G32*24%</f>
        <v>32.64</v>
      </c>
      <c r="H33" s="4">
        <f t="shared" si="3"/>
        <v>37.199999999999996</v>
      </c>
      <c r="I33" s="4">
        <f t="shared" si="3"/>
        <v>42.239999999999995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2"/>
  <sheetViews>
    <sheetView workbookViewId="0">
      <selection sqref="A1:XFD1048576"/>
    </sheetView>
  </sheetViews>
  <sheetFormatPr defaultRowHeight="15" x14ac:dyDescent="0.25"/>
  <cols>
    <col min="3" max="3" width="24.28515625" bestFit="1" customWidth="1"/>
    <col min="4" max="6" width="9.140625" customWidth="1"/>
    <col min="7" max="11" width="9.7109375" bestFit="1" customWidth="1"/>
  </cols>
  <sheetData>
    <row r="1" spans="3:11" x14ac:dyDescent="0.25">
      <c r="D1" s="6">
        <v>2020</v>
      </c>
      <c r="E1" s="6">
        <v>2021</v>
      </c>
      <c r="F1" s="6">
        <v>2022</v>
      </c>
      <c r="G1" s="6">
        <v>2023</v>
      </c>
      <c r="H1" s="6">
        <v>2024</v>
      </c>
      <c r="I1" s="6">
        <v>2025</v>
      </c>
      <c r="J1" s="6">
        <v>2026</v>
      </c>
      <c r="K1" s="6">
        <v>2027</v>
      </c>
    </row>
    <row r="2" spans="3:11" x14ac:dyDescent="0.25">
      <c r="C2" t="s">
        <v>61</v>
      </c>
      <c r="D2">
        <v>344</v>
      </c>
      <c r="E2">
        <v>347</v>
      </c>
      <c r="F2">
        <v>556</v>
      </c>
      <c r="G2">
        <v>676</v>
      </c>
      <c r="H2">
        <v>798</v>
      </c>
      <c r="I2">
        <v>875</v>
      </c>
      <c r="J2">
        <v>950</v>
      </c>
      <c r="K2" s="1">
        <v>1100</v>
      </c>
    </row>
    <row r="3" spans="3:11" x14ac:dyDescent="0.25">
      <c r="C3" t="s">
        <v>62</v>
      </c>
      <c r="D3">
        <v>362</v>
      </c>
      <c r="E3">
        <v>484</v>
      </c>
      <c r="F3">
        <v>515</v>
      </c>
      <c r="G3">
        <v>593</v>
      </c>
      <c r="H3">
        <v>682</v>
      </c>
      <c r="I3">
        <v>735</v>
      </c>
      <c r="J3">
        <v>801</v>
      </c>
      <c r="K3">
        <v>845</v>
      </c>
    </row>
    <row r="4" spans="3:11" x14ac:dyDescent="0.25">
      <c r="C4" t="s">
        <v>63</v>
      </c>
      <c r="D4" s="2">
        <v>-40</v>
      </c>
      <c r="E4">
        <v>46</v>
      </c>
      <c r="F4">
        <v>55</v>
      </c>
      <c r="G4">
        <v>55</v>
      </c>
      <c r="H4">
        <v>35</v>
      </c>
      <c r="I4">
        <v>26</v>
      </c>
      <c r="J4">
        <v>16</v>
      </c>
      <c r="K4">
        <v>5</v>
      </c>
    </row>
    <row r="5" spans="3:11" x14ac:dyDescent="0.25">
      <c r="C5" t="s">
        <v>64</v>
      </c>
      <c r="D5">
        <v>110</v>
      </c>
      <c r="E5">
        <v>110</v>
      </c>
      <c r="F5">
        <v>110</v>
      </c>
      <c r="G5">
        <v>60</v>
      </c>
      <c r="H5">
        <v>51</v>
      </c>
      <c r="I5">
        <v>46</v>
      </c>
      <c r="J5">
        <v>41</v>
      </c>
      <c r="K5">
        <v>41</v>
      </c>
    </row>
    <row r="6" spans="3:11" x14ac:dyDescent="0.25">
      <c r="C6" t="s">
        <v>65</v>
      </c>
      <c r="D6">
        <v>176</v>
      </c>
      <c r="E6">
        <v>240</v>
      </c>
      <c r="F6">
        <v>179</v>
      </c>
      <c r="G6">
        <v>150</v>
      </c>
      <c r="H6">
        <v>116</v>
      </c>
      <c r="I6">
        <v>100</v>
      </c>
      <c r="J6">
        <v>75</v>
      </c>
      <c r="K6">
        <v>65</v>
      </c>
    </row>
    <row r="7" spans="3:11" x14ac:dyDescent="0.25">
      <c r="C7" s="3" t="s">
        <v>66</v>
      </c>
      <c r="D7" s="3">
        <f t="shared" ref="D7:E7" si="0">SUM(D2:D6)</f>
        <v>952</v>
      </c>
      <c r="E7" s="3">
        <f t="shared" si="0"/>
        <v>1227</v>
      </c>
      <c r="F7" s="3">
        <f>SUM(F2:F6)</f>
        <v>1415</v>
      </c>
      <c r="G7" s="3">
        <f>SUM(G2:G6)</f>
        <v>1534</v>
      </c>
      <c r="H7" s="3">
        <f t="shared" ref="H7:K7" si="1">SUM(H2:H6)</f>
        <v>1682</v>
      </c>
      <c r="I7" s="3">
        <f t="shared" si="1"/>
        <v>1782</v>
      </c>
      <c r="J7" s="3">
        <f t="shared" si="1"/>
        <v>1883</v>
      </c>
      <c r="K7" s="3">
        <f t="shared" si="1"/>
        <v>2056</v>
      </c>
    </row>
    <row r="9" spans="3:11" x14ac:dyDescent="0.25">
      <c r="C9" t="s">
        <v>67</v>
      </c>
      <c r="D9">
        <v>196</v>
      </c>
      <c r="E9">
        <v>236</v>
      </c>
      <c r="F9">
        <v>452</v>
      </c>
      <c r="G9">
        <v>519</v>
      </c>
      <c r="H9">
        <v>577</v>
      </c>
      <c r="I9">
        <v>657</v>
      </c>
      <c r="J9">
        <v>731</v>
      </c>
      <c r="K9">
        <v>866</v>
      </c>
    </row>
    <row r="10" spans="3:11" x14ac:dyDescent="0.25">
      <c r="C10" t="s">
        <v>6</v>
      </c>
    </row>
    <row r="11" spans="3:11" x14ac:dyDescent="0.25">
      <c r="C11" t="s">
        <v>68</v>
      </c>
      <c r="D11">
        <v>1</v>
      </c>
      <c r="E11">
        <v>21</v>
      </c>
      <c r="F11">
        <v>8</v>
      </c>
      <c r="G11">
        <v>20</v>
      </c>
      <c r="H11" s="1">
        <v>30</v>
      </c>
      <c r="I11" s="1">
        <v>45</v>
      </c>
      <c r="J11" s="1">
        <v>60</v>
      </c>
      <c r="K11" s="1">
        <v>75</v>
      </c>
    </row>
    <row r="12" spans="3:11" x14ac:dyDescent="0.25">
      <c r="C12" s="3" t="s">
        <v>69</v>
      </c>
      <c r="D12" s="3">
        <f>SUM(D9:D11)</f>
        <v>197</v>
      </c>
      <c r="E12" s="3">
        <f>SUM(E9:E11)</f>
        <v>257</v>
      </c>
      <c r="F12" s="3">
        <f>SUM(F9:F11)</f>
        <v>460</v>
      </c>
      <c r="G12" s="3">
        <f>SUM(G9:G11)</f>
        <v>539</v>
      </c>
      <c r="H12" s="3">
        <f t="shared" ref="H12:K12" si="2">SUM(H9:H11)</f>
        <v>607</v>
      </c>
      <c r="I12" s="3">
        <f t="shared" si="2"/>
        <v>702</v>
      </c>
      <c r="J12" s="3">
        <f t="shared" si="2"/>
        <v>791</v>
      </c>
      <c r="K12" s="3">
        <f t="shared" si="2"/>
        <v>941</v>
      </c>
    </row>
    <row r="14" spans="3:11" s="5" customFormat="1" x14ac:dyDescent="0.25">
      <c r="C14" s="5" t="s">
        <v>70</v>
      </c>
      <c r="D14" s="5">
        <f>D7-D12</f>
        <v>755</v>
      </c>
      <c r="E14" s="5">
        <f t="shared" ref="E14:K14" si="3">E7-E12</f>
        <v>970</v>
      </c>
      <c r="F14" s="5">
        <f t="shared" si="3"/>
        <v>955</v>
      </c>
      <c r="G14" s="5">
        <f t="shared" si="3"/>
        <v>995</v>
      </c>
      <c r="H14" s="5">
        <f t="shared" si="3"/>
        <v>1075</v>
      </c>
      <c r="I14" s="5">
        <f t="shared" si="3"/>
        <v>1080</v>
      </c>
      <c r="J14" s="5">
        <f t="shared" si="3"/>
        <v>1092</v>
      </c>
      <c r="K14" s="5">
        <f t="shared" si="3"/>
        <v>1115</v>
      </c>
    </row>
    <row r="16" spans="3:11" x14ac:dyDescent="0.25">
      <c r="C16" t="s">
        <v>71</v>
      </c>
      <c r="D16" s="2">
        <v>2751</v>
      </c>
      <c r="E16" s="2">
        <v>2868</v>
      </c>
      <c r="F16" s="2">
        <v>3141</v>
      </c>
      <c r="G16" s="2">
        <v>3769</v>
      </c>
      <c r="H16" s="2">
        <v>4146</v>
      </c>
      <c r="I16" s="2">
        <v>4561</v>
      </c>
      <c r="J16" s="2">
        <v>5017</v>
      </c>
      <c r="K16" s="2">
        <v>5518</v>
      </c>
    </row>
    <row r="17" spans="3:12" x14ac:dyDescent="0.25">
      <c r="C17" t="s">
        <v>72</v>
      </c>
      <c r="D17" s="2">
        <v>-1177</v>
      </c>
      <c r="E17" s="2">
        <v>-1242</v>
      </c>
      <c r="F17" s="2">
        <v>-1378</v>
      </c>
      <c r="G17" s="2">
        <v>-2261</v>
      </c>
      <c r="H17" s="2">
        <v>-2363</v>
      </c>
      <c r="I17" s="2">
        <v>-2600</v>
      </c>
      <c r="J17" s="2">
        <v>-2859</v>
      </c>
      <c r="K17" s="2">
        <v>-3145</v>
      </c>
      <c r="L17" s="2"/>
    </row>
    <row r="18" spans="3:12" x14ac:dyDescent="0.25">
      <c r="D18" s="2"/>
      <c r="E18" s="2"/>
      <c r="F18" s="2"/>
      <c r="G18" s="2"/>
      <c r="H18" s="2"/>
      <c r="I18" s="2"/>
      <c r="J18" s="2"/>
      <c r="K18" s="2"/>
      <c r="L18" s="2"/>
    </row>
    <row r="19" spans="3:12" x14ac:dyDescent="0.25">
      <c r="C19" t="s">
        <v>73</v>
      </c>
      <c r="D19" s="4">
        <f>(D2/D16)*365</f>
        <v>45.641584878226098</v>
      </c>
      <c r="E19" s="4">
        <f t="shared" ref="E19:J19" si="4">(E2/E16)*365</f>
        <v>44.161436541143651</v>
      </c>
      <c r="F19" s="4">
        <f t="shared" si="4"/>
        <v>64.609996816300537</v>
      </c>
      <c r="G19" s="4">
        <f t="shared" si="4"/>
        <v>65.465640753515515</v>
      </c>
      <c r="H19" s="4">
        <f t="shared" si="4"/>
        <v>70.253256150506516</v>
      </c>
      <c r="I19" s="4">
        <f t="shared" si="4"/>
        <v>70.023021267265946</v>
      </c>
      <c r="J19" s="4">
        <f t="shared" si="4"/>
        <v>69.115008969503691</v>
      </c>
      <c r="K19" s="4">
        <f>(K2/K16)*365</f>
        <v>72.76187024284161</v>
      </c>
      <c r="L19" s="2"/>
    </row>
    <row r="20" spans="3:12" x14ac:dyDescent="0.25">
      <c r="C20" t="s">
        <v>74</v>
      </c>
      <c r="D20" s="4">
        <f>(D3/D16)*365</f>
        <v>48.029807342784444</v>
      </c>
      <c r="E20" s="4">
        <f t="shared" ref="E20:K20" si="5">(E3/E16)*365</f>
        <v>61.596931659693162</v>
      </c>
      <c r="F20" s="4">
        <f t="shared" si="5"/>
        <v>59.845590576249606</v>
      </c>
      <c r="G20" s="4">
        <f t="shared" si="5"/>
        <v>57.427699655080922</v>
      </c>
      <c r="H20" s="4">
        <f t="shared" si="5"/>
        <v>60.041003376748677</v>
      </c>
      <c r="I20" s="4">
        <f t="shared" si="5"/>
        <v>58.819337864503396</v>
      </c>
      <c r="J20" s="4">
        <f t="shared" si="5"/>
        <v>58.27486545744469</v>
      </c>
      <c r="K20" s="4">
        <f t="shared" si="5"/>
        <v>55.894345777455605</v>
      </c>
    </row>
    <row r="21" spans="3:12" x14ac:dyDescent="0.25">
      <c r="C21" t="s">
        <v>75</v>
      </c>
      <c r="D21" s="4">
        <f>(D9/D17)*365</f>
        <v>-60.781648258283781</v>
      </c>
      <c r="E21" s="4">
        <f t="shared" ref="E21:J21" si="6">(E9/E17)*365</f>
        <v>-69.355877616747179</v>
      </c>
      <c r="F21" s="4">
        <f t="shared" si="6"/>
        <v>-119.72423802612481</v>
      </c>
      <c r="G21" s="4">
        <f t="shared" si="6"/>
        <v>-83.783724015922161</v>
      </c>
      <c r="H21" s="4">
        <f t="shared" si="6"/>
        <v>-89.126110876005086</v>
      </c>
      <c r="I21" s="4">
        <f t="shared" si="6"/>
        <v>-92.232692307692318</v>
      </c>
      <c r="J21" s="4">
        <f t="shared" si="6"/>
        <v>-93.324589017138862</v>
      </c>
      <c r="K21" s="4">
        <f>(K9/K17)*365</f>
        <v>-100.50556438791733</v>
      </c>
    </row>
    <row r="22" spans="3:12" x14ac:dyDescent="0.25">
      <c r="C22" s="5" t="s">
        <v>76</v>
      </c>
      <c r="D22" s="15">
        <f>SUM(D19:D21)</f>
        <v>32.889743962726754</v>
      </c>
      <c r="E22" s="15">
        <f t="shared" ref="E22:K22" si="7">SUM(E19:E21)</f>
        <v>36.402490584089634</v>
      </c>
      <c r="F22" s="15">
        <f t="shared" si="7"/>
        <v>4.7313493664253343</v>
      </c>
      <c r="G22" s="15">
        <f t="shared" si="7"/>
        <v>39.109616392674269</v>
      </c>
      <c r="H22" s="15">
        <f t="shared" si="7"/>
        <v>41.168148651250092</v>
      </c>
      <c r="I22" s="15">
        <f t="shared" si="7"/>
        <v>36.609666824077024</v>
      </c>
      <c r="J22" s="15">
        <f t="shared" si="7"/>
        <v>34.065285409809519</v>
      </c>
      <c r="K22" s="15">
        <f t="shared" si="7"/>
        <v>28.150651632379891</v>
      </c>
      <c r="L22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130" zoomScaleNormal="130" workbookViewId="0">
      <selection sqref="A1:XFD1048576"/>
    </sheetView>
  </sheetViews>
  <sheetFormatPr defaultRowHeight="15" x14ac:dyDescent="0.25"/>
  <cols>
    <col min="3" max="3" width="13.140625" customWidth="1"/>
  </cols>
  <sheetData>
    <row r="1" spans="1:11" x14ac:dyDescent="0.25">
      <c r="D1" s="29">
        <v>2020</v>
      </c>
      <c r="E1" s="29">
        <v>2021</v>
      </c>
      <c r="F1" s="29">
        <v>2022</v>
      </c>
      <c r="G1" s="30">
        <v>2023</v>
      </c>
      <c r="H1" s="30">
        <v>2024</v>
      </c>
      <c r="I1" s="30">
        <v>2025</v>
      </c>
      <c r="J1" s="30">
        <v>2026</v>
      </c>
      <c r="K1" s="30">
        <v>2027</v>
      </c>
    </row>
    <row r="2" spans="1:11" x14ac:dyDescent="0.25">
      <c r="A2" s="2"/>
      <c r="B2" s="2"/>
      <c r="C2" s="2" t="s">
        <v>77</v>
      </c>
      <c r="D2" s="46">
        <v>26</v>
      </c>
      <c r="E2" s="46">
        <v>156</v>
      </c>
      <c r="F2" s="46">
        <v>536</v>
      </c>
      <c r="G2" s="46">
        <v>425</v>
      </c>
      <c r="H2" s="46">
        <v>365</v>
      </c>
      <c r="I2" s="46">
        <v>342</v>
      </c>
      <c r="J2" s="46">
        <v>315</v>
      </c>
      <c r="K2" s="46">
        <v>293</v>
      </c>
    </row>
    <row r="3" spans="1:11" x14ac:dyDescent="0.25">
      <c r="A3" s="2"/>
      <c r="B3" s="2"/>
      <c r="C3" s="2" t="s">
        <v>78</v>
      </c>
      <c r="D3" s="46">
        <v>45</v>
      </c>
      <c r="E3" s="46">
        <v>85</v>
      </c>
      <c r="F3" s="46">
        <v>145</v>
      </c>
      <c r="G3" s="46">
        <v>225</v>
      </c>
      <c r="H3" s="46">
        <v>275</v>
      </c>
      <c r="I3" s="46">
        <v>285</v>
      </c>
      <c r="J3" s="46">
        <v>320</v>
      </c>
      <c r="K3" s="46">
        <v>345</v>
      </c>
    </row>
    <row r="4" spans="1:11" x14ac:dyDescent="0.25">
      <c r="A4" s="2"/>
      <c r="B4" s="2"/>
      <c r="C4" s="2" t="s">
        <v>79</v>
      </c>
      <c r="D4" s="3">
        <f>+D2+D3</f>
        <v>71</v>
      </c>
      <c r="E4" s="3">
        <f t="shared" ref="E4:K4" si="0">+E2+E3</f>
        <v>241</v>
      </c>
      <c r="F4" s="3">
        <f t="shared" si="0"/>
        <v>681</v>
      </c>
      <c r="G4" s="3">
        <f t="shared" si="0"/>
        <v>650</v>
      </c>
      <c r="H4" s="3">
        <f t="shared" si="0"/>
        <v>640</v>
      </c>
      <c r="I4" s="3">
        <f t="shared" si="0"/>
        <v>627</v>
      </c>
      <c r="J4" s="3">
        <f t="shared" si="0"/>
        <v>635</v>
      </c>
      <c r="K4" s="3">
        <f t="shared" si="0"/>
        <v>638</v>
      </c>
    </row>
    <row r="5" spans="1:11" ht="15.75" thickBot="1" x14ac:dyDescent="0.3">
      <c r="A5" s="2"/>
      <c r="B5" s="2"/>
      <c r="C5" s="2"/>
    </row>
    <row r="6" spans="1:11" x14ac:dyDescent="0.25">
      <c r="A6" s="41" t="s">
        <v>80</v>
      </c>
      <c r="B6" s="2"/>
      <c r="C6" s="31"/>
      <c r="D6" s="32">
        <v>0</v>
      </c>
      <c r="E6" s="32">
        <v>0</v>
      </c>
      <c r="F6" s="32">
        <v>440</v>
      </c>
      <c r="G6" s="32">
        <f>F6-88</f>
        <v>352</v>
      </c>
      <c r="H6" s="32">
        <f t="shared" ref="H6:K6" si="1">G6-88</f>
        <v>264</v>
      </c>
      <c r="I6" s="32">
        <f t="shared" si="1"/>
        <v>176</v>
      </c>
      <c r="J6" s="32">
        <f t="shared" si="1"/>
        <v>88</v>
      </c>
      <c r="K6" s="33">
        <f t="shared" si="1"/>
        <v>0</v>
      </c>
    </row>
    <row r="7" spans="1:11" x14ac:dyDescent="0.25">
      <c r="A7" s="2"/>
      <c r="B7" s="2"/>
      <c r="C7" s="34" t="s">
        <v>77</v>
      </c>
      <c r="D7">
        <v>0</v>
      </c>
      <c r="E7">
        <v>0</v>
      </c>
      <c r="F7">
        <f>F6-88</f>
        <v>352</v>
      </c>
      <c r="G7">
        <f>F7-F8</f>
        <v>264</v>
      </c>
      <c r="H7">
        <f t="shared" ref="H7:J7" si="2">G7-G8</f>
        <v>176</v>
      </c>
      <c r="I7">
        <f t="shared" si="2"/>
        <v>88</v>
      </c>
      <c r="J7">
        <f t="shared" si="2"/>
        <v>0</v>
      </c>
      <c r="K7" s="35">
        <v>0</v>
      </c>
    </row>
    <row r="8" spans="1:11" ht="15.75" thickBot="1" x14ac:dyDescent="0.3">
      <c r="A8" s="2"/>
      <c r="B8" s="2"/>
      <c r="C8" s="36" t="s">
        <v>78</v>
      </c>
      <c r="D8" s="37">
        <v>0</v>
      </c>
      <c r="E8" s="37">
        <v>0</v>
      </c>
      <c r="F8" s="37">
        <v>88</v>
      </c>
      <c r="G8" s="37">
        <v>88</v>
      </c>
      <c r="H8" s="37">
        <v>88</v>
      </c>
      <c r="I8" s="37">
        <v>88</v>
      </c>
      <c r="J8" s="37">
        <v>88</v>
      </c>
      <c r="K8" s="38">
        <v>0</v>
      </c>
    </row>
    <row r="9" spans="1:11" ht="15.75" thickBot="1" x14ac:dyDescent="0.3">
      <c r="A9" s="2"/>
      <c r="B9" s="2"/>
      <c r="C9" s="2"/>
    </row>
    <row r="10" spans="1:11" x14ac:dyDescent="0.25">
      <c r="A10" s="2" t="s">
        <v>81</v>
      </c>
      <c r="B10" s="2"/>
      <c r="C10" s="31"/>
      <c r="D10" s="39">
        <f>D4-D6</f>
        <v>71</v>
      </c>
      <c r="E10" s="39">
        <f t="shared" ref="E10:K10" si="3">E4-E6</f>
        <v>241</v>
      </c>
      <c r="F10" s="39">
        <f>F4-F6</f>
        <v>241</v>
      </c>
      <c r="G10" s="39">
        <f t="shared" si="3"/>
        <v>298</v>
      </c>
      <c r="H10" s="39">
        <f t="shared" si="3"/>
        <v>376</v>
      </c>
      <c r="I10" s="39">
        <f t="shared" si="3"/>
        <v>451</v>
      </c>
      <c r="J10" s="39">
        <f t="shared" si="3"/>
        <v>547</v>
      </c>
      <c r="K10" s="40">
        <f t="shared" si="3"/>
        <v>638</v>
      </c>
    </row>
    <row r="11" spans="1:11" x14ac:dyDescent="0.25">
      <c r="A11" s="2"/>
      <c r="B11" s="2"/>
      <c r="C11" s="34" t="s">
        <v>77</v>
      </c>
      <c r="D11">
        <f>D2</f>
        <v>26</v>
      </c>
      <c r="E11">
        <f>E2</f>
        <v>156</v>
      </c>
      <c r="F11">
        <f>F2-F7</f>
        <v>184</v>
      </c>
      <c r="G11">
        <f t="shared" ref="G11:J11" si="4">G2-G7</f>
        <v>161</v>
      </c>
      <c r="H11">
        <f t="shared" si="4"/>
        <v>189</v>
      </c>
      <c r="I11">
        <f t="shared" si="4"/>
        <v>254</v>
      </c>
      <c r="J11">
        <f t="shared" si="4"/>
        <v>315</v>
      </c>
      <c r="K11" s="35">
        <f>K2-K7</f>
        <v>293</v>
      </c>
    </row>
    <row r="12" spans="1:11" ht="15.75" thickBot="1" x14ac:dyDescent="0.3">
      <c r="A12" s="2"/>
      <c r="B12" s="2"/>
      <c r="C12" s="36" t="s">
        <v>78</v>
      </c>
      <c r="D12" s="37">
        <f>D3</f>
        <v>45</v>
      </c>
      <c r="E12" s="37">
        <f>E3</f>
        <v>85</v>
      </c>
      <c r="F12" s="37">
        <f>F3-F8</f>
        <v>57</v>
      </c>
      <c r="G12" s="37">
        <f t="shared" ref="G12:K12" si="5">G3-G8</f>
        <v>137</v>
      </c>
      <c r="H12" s="37">
        <f t="shared" si="5"/>
        <v>187</v>
      </c>
      <c r="I12" s="37">
        <f t="shared" si="5"/>
        <v>197</v>
      </c>
      <c r="J12" s="37">
        <f t="shared" si="5"/>
        <v>232</v>
      </c>
      <c r="K12" s="38">
        <f t="shared" si="5"/>
        <v>345</v>
      </c>
    </row>
    <row r="13" spans="1:11" x14ac:dyDescent="0.25">
      <c r="A13" s="2"/>
      <c r="B13" s="2"/>
      <c r="C13" s="2"/>
    </row>
    <row r="14" spans="1:11" x14ac:dyDescent="0.25">
      <c r="A14" s="2"/>
      <c r="B14" s="2"/>
      <c r="D14" s="6">
        <v>2020</v>
      </c>
      <c r="E14" s="6">
        <v>2021</v>
      </c>
      <c r="F14" s="6">
        <v>2022</v>
      </c>
      <c r="G14" s="6">
        <v>2023</v>
      </c>
      <c r="H14" s="6">
        <v>2024</v>
      </c>
      <c r="I14" s="6">
        <v>2025</v>
      </c>
      <c r="J14" s="6">
        <v>2026</v>
      </c>
      <c r="K14" s="6">
        <v>2027</v>
      </c>
    </row>
    <row r="15" spans="1:11" x14ac:dyDescent="0.25">
      <c r="A15" s="2"/>
      <c r="B15" s="2"/>
      <c r="C15" t="s">
        <v>82</v>
      </c>
      <c r="E15">
        <f t="shared" ref="E15:K15" si="6">D10</f>
        <v>71</v>
      </c>
      <c r="F15">
        <f t="shared" si="6"/>
        <v>241</v>
      </c>
      <c r="G15">
        <f t="shared" si="6"/>
        <v>241</v>
      </c>
      <c r="H15">
        <f t="shared" si="6"/>
        <v>298</v>
      </c>
      <c r="I15">
        <f t="shared" si="6"/>
        <v>376</v>
      </c>
      <c r="J15">
        <f t="shared" si="6"/>
        <v>451</v>
      </c>
      <c r="K15">
        <f t="shared" si="6"/>
        <v>547</v>
      </c>
    </row>
    <row r="16" spans="1:11" x14ac:dyDescent="0.25">
      <c r="A16" s="2"/>
      <c r="B16" s="2"/>
      <c r="C16" t="s">
        <v>83</v>
      </c>
      <c r="E16" s="28">
        <f>E18-E17-E15</f>
        <v>215</v>
      </c>
      <c r="F16" s="28">
        <f t="shared" ref="F16:K16" si="7">F18-F17-F15</f>
        <v>85</v>
      </c>
      <c r="G16" s="28">
        <f t="shared" si="7"/>
        <v>114</v>
      </c>
      <c r="H16" s="28">
        <f t="shared" si="7"/>
        <v>215</v>
      </c>
      <c r="I16" s="28">
        <f t="shared" si="7"/>
        <v>262</v>
      </c>
      <c r="J16" s="28">
        <f t="shared" si="7"/>
        <v>293</v>
      </c>
      <c r="K16" s="28">
        <f t="shared" si="7"/>
        <v>323</v>
      </c>
    </row>
    <row r="17" spans="1:12" x14ac:dyDescent="0.25">
      <c r="A17" s="2"/>
      <c r="B17" s="2"/>
      <c r="C17" s="28" t="s">
        <v>84</v>
      </c>
      <c r="D17" s="2"/>
      <c r="E17" s="2">
        <f t="shared" ref="E17:K17" si="8">-D12</f>
        <v>-45</v>
      </c>
      <c r="F17" s="2">
        <f t="shared" si="8"/>
        <v>-85</v>
      </c>
      <c r="G17" s="2">
        <f t="shared" si="8"/>
        <v>-57</v>
      </c>
      <c r="H17" s="2">
        <f t="shared" si="8"/>
        <v>-137</v>
      </c>
      <c r="I17" s="2">
        <f t="shared" si="8"/>
        <v>-187</v>
      </c>
      <c r="J17" s="2">
        <f t="shared" si="8"/>
        <v>-197</v>
      </c>
      <c r="K17" s="2">
        <f t="shared" si="8"/>
        <v>-232</v>
      </c>
    </row>
    <row r="18" spans="1:12" x14ac:dyDescent="0.25">
      <c r="C18" s="28" t="s">
        <v>85</v>
      </c>
      <c r="D18" s="8">
        <f t="shared" ref="D18:K18" si="9">D10</f>
        <v>71</v>
      </c>
      <c r="E18" s="8">
        <f t="shared" si="9"/>
        <v>241</v>
      </c>
      <c r="F18" s="8">
        <f t="shared" si="9"/>
        <v>241</v>
      </c>
      <c r="G18" s="8">
        <f t="shared" si="9"/>
        <v>298</v>
      </c>
      <c r="H18" s="8">
        <f t="shared" si="9"/>
        <v>376</v>
      </c>
      <c r="I18" s="8">
        <f t="shared" si="9"/>
        <v>451</v>
      </c>
      <c r="J18" s="8">
        <f t="shared" si="9"/>
        <v>547</v>
      </c>
      <c r="K18" s="8">
        <f t="shared" si="9"/>
        <v>638</v>
      </c>
    </row>
    <row r="21" spans="1:12" x14ac:dyDescent="0.25">
      <c r="C21" t="s">
        <v>86</v>
      </c>
    </row>
    <row r="22" spans="1:12" x14ac:dyDescent="0.25">
      <c r="G22" s="6">
        <v>2023</v>
      </c>
      <c r="H22" s="6">
        <v>2024</v>
      </c>
      <c r="I22" s="6">
        <v>2025</v>
      </c>
      <c r="J22" s="6">
        <v>2026</v>
      </c>
      <c r="K22" s="6">
        <v>2027</v>
      </c>
      <c r="L22" s="6">
        <v>2028</v>
      </c>
    </row>
    <row r="23" spans="1:12" x14ac:dyDescent="0.25">
      <c r="C23" s="28" t="s">
        <v>0</v>
      </c>
      <c r="D23" s="28"/>
      <c r="F23" s="28"/>
      <c r="G23">
        <f>WACC!G28</f>
        <v>2217</v>
      </c>
      <c r="H23">
        <f>WACC!H28</f>
        <v>2283</v>
      </c>
      <c r="I23">
        <f>WACC!I28</f>
        <v>2347</v>
      </c>
      <c r="J23">
        <f>WACC!J28</f>
        <v>2427</v>
      </c>
      <c r="K23">
        <f>WACC!K28</f>
        <v>2525</v>
      </c>
      <c r="L23" t="s">
        <v>87</v>
      </c>
    </row>
    <row r="24" spans="1:12" x14ac:dyDescent="0.25">
      <c r="C24" s="28" t="s">
        <v>88</v>
      </c>
      <c r="D24" s="28"/>
      <c r="F24" s="28"/>
      <c r="G24">
        <f>G6</f>
        <v>352</v>
      </c>
      <c r="H24">
        <f t="shared" ref="H24:K24" si="10">H6</f>
        <v>264</v>
      </c>
      <c r="I24">
        <f t="shared" si="10"/>
        <v>176</v>
      </c>
      <c r="J24">
        <f t="shared" si="10"/>
        <v>88</v>
      </c>
      <c r="K24">
        <f t="shared" si="10"/>
        <v>0</v>
      </c>
      <c r="L24">
        <v>0</v>
      </c>
    </row>
    <row r="25" spans="1:12" x14ac:dyDescent="0.25">
      <c r="C25" s="28" t="s">
        <v>89</v>
      </c>
      <c r="D25" s="28"/>
      <c r="F25" s="28"/>
      <c r="G25">
        <f>G10</f>
        <v>298</v>
      </c>
      <c r="H25">
        <f t="shared" ref="H25:K25" si="11">H10</f>
        <v>376</v>
      </c>
      <c r="I25">
        <f t="shared" si="11"/>
        <v>451</v>
      </c>
      <c r="J25">
        <f t="shared" si="11"/>
        <v>547</v>
      </c>
      <c r="K25">
        <f t="shared" si="11"/>
        <v>638</v>
      </c>
      <c r="L25" t="s">
        <v>87</v>
      </c>
    </row>
    <row r="26" spans="1:12" x14ac:dyDescent="0.25">
      <c r="C26" s="28"/>
      <c r="D26" s="28"/>
      <c r="F26" s="28"/>
      <c r="G26">
        <f>SUM(G23:G25)</f>
        <v>2867</v>
      </c>
      <c r="H26">
        <f t="shared" ref="H26:K26" si="12">SUM(H23:H25)</f>
        <v>2923</v>
      </c>
      <c r="I26">
        <f t="shared" si="12"/>
        <v>2974</v>
      </c>
      <c r="J26">
        <f t="shared" si="12"/>
        <v>3062</v>
      </c>
      <c r="K26">
        <f t="shared" si="12"/>
        <v>3163</v>
      </c>
    </row>
    <row r="27" spans="1:12" x14ac:dyDescent="0.25">
      <c r="C27" s="43" t="s">
        <v>90</v>
      </c>
      <c r="E27" s="6"/>
      <c r="F27" s="6"/>
      <c r="G27" s="6"/>
      <c r="H27" s="6"/>
      <c r="I27" s="6"/>
      <c r="J27" s="6"/>
    </row>
    <row r="28" spans="1:12" x14ac:dyDescent="0.25">
      <c r="C28" s="44" t="s">
        <v>91</v>
      </c>
      <c r="D28" s="45"/>
      <c r="E28" s="45"/>
      <c r="F28" s="45"/>
      <c r="G28" s="45"/>
      <c r="H28" s="45"/>
    </row>
    <row r="29" spans="1:12" x14ac:dyDescent="0.25">
      <c r="C29" s="28" t="s">
        <v>0</v>
      </c>
      <c r="G29" s="42">
        <f>G23/G26</f>
        <v>0.77328217649110564</v>
      </c>
      <c r="H29" s="42">
        <f t="shared" ref="H29:K29" si="13">H23/H26</f>
        <v>0.78104686965446457</v>
      </c>
      <c r="I29" s="42">
        <f t="shared" si="13"/>
        <v>0.78917283120376602</v>
      </c>
      <c r="J29" s="42">
        <f t="shared" si="13"/>
        <v>0.79261920313520573</v>
      </c>
      <c r="K29" s="42">
        <f t="shared" si="13"/>
        <v>0.7982927600379387</v>
      </c>
    </row>
    <row r="30" spans="1:12" x14ac:dyDescent="0.25">
      <c r="C30" s="28" t="s">
        <v>88</v>
      </c>
      <c r="G30" s="42">
        <f>G24/G26</f>
        <v>0.12277642134635508</v>
      </c>
      <c r="H30" s="42">
        <f t="shared" ref="H30:K30" si="14">H24/H26</f>
        <v>9.0318166267533362E-2</v>
      </c>
      <c r="I30" s="42">
        <f t="shared" si="14"/>
        <v>5.9179556153328851E-2</v>
      </c>
      <c r="J30" s="42">
        <f t="shared" si="14"/>
        <v>2.8739386022207707E-2</v>
      </c>
      <c r="K30" s="42">
        <f t="shared" si="14"/>
        <v>0</v>
      </c>
    </row>
    <row r="31" spans="1:12" x14ac:dyDescent="0.25">
      <c r="C31" s="28" t="s">
        <v>89</v>
      </c>
      <c r="G31" s="42">
        <f>G25/G26</f>
        <v>0.10394140216253923</v>
      </c>
      <c r="H31" s="42">
        <f t="shared" ref="H31:K31" si="15">H25/H26</f>
        <v>0.12863496407800204</v>
      </c>
      <c r="I31" s="42">
        <f t="shared" si="15"/>
        <v>0.15164761264290519</v>
      </c>
      <c r="J31" s="42">
        <f t="shared" si="15"/>
        <v>0.17864141084258656</v>
      </c>
      <c r="K31" s="42">
        <f t="shared" si="15"/>
        <v>0.20170723996206133</v>
      </c>
    </row>
    <row r="33" spans="3:12" x14ac:dyDescent="0.25">
      <c r="C33" s="28" t="s">
        <v>27</v>
      </c>
      <c r="G33">
        <f>WACC!G34</f>
        <v>16.606504285069917</v>
      </c>
      <c r="H33">
        <f>WACC!H34</f>
        <v>16.536937363118703</v>
      </c>
      <c r="I33">
        <f>WACC!I34</f>
        <v>16.465599659139329</v>
      </c>
      <c r="J33">
        <f>WACC!J34</f>
        <v>16.435785743716522</v>
      </c>
      <c r="K33">
        <f>WACC!K34</f>
        <v>16.387265584158413</v>
      </c>
    </row>
    <row r="34" spans="3:12" x14ac:dyDescent="0.25">
      <c r="C34" s="28" t="s">
        <v>92</v>
      </c>
      <c r="G34">
        <f>7*(1-0.24)</f>
        <v>5.32</v>
      </c>
      <c r="H34">
        <f t="shared" ref="H34:I34" si="16">7*(1-0.24)</f>
        <v>5.32</v>
      </c>
      <c r="I34">
        <f t="shared" si="16"/>
        <v>5.32</v>
      </c>
      <c r="J34">
        <f>8*(1-0.24)</f>
        <v>6.08</v>
      </c>
      <c r="K34">
        <f>8*(1-0.24)</f>
        <v>6.08</v>
      </c>
    </row>
    <row r="35" spans="3:12" x14ac:dyDescent="0.25">
      <c r="C35" s="28" t="s">
        <v>93</v>
      </c>
      <c r="G35">
        <f>10*(1-0.24)</f>
        <v>7.6</v>
      </c>
      <c r="H35">
        <f t="shared" ref="H35:K35" si="17">10*(1-0.24)</f>
        <v>7.6</v>
      </c>
      <c r="I35">
        <f t="shared" si="17"/>
        <v>7.6</v>
      </c>
      <c r="J35">
        <f t="shared" si="17"/>
        <v>7.6</v>
      </c>
      <c r="K35">
        <f t="shared" si="17"/>
        <v>7.6</v>
      </c>
    </row>
    <row r="37" spans="3:12" x14ac:dyDescent="0.25">
      <c r="C37" s="28" t="s">
        <v>29</v>
      </c>
      <c r="G37">
        <f>(G29*G33)+(G30*G34)+(G31*G35)</f>
        <v>14.284638995465645</v>
      </c>
      <c r="H37">
        <f t="shared" ref="H37:K37" si="18">(H29*H33)+(H30*H34)+(H31*H35)</f>
        <v>14.374241532671912</v>
      </c>
      <c r="I37">
        <f t="shared" si="18"/>
        <v>14.461560995292537</v>
      </c>
      <c r="J37">
        <f t="shared" si="18"/>
        <v>14.559729588504245</v>
      </c>
      <c r="K37">
        <f t="shared" si="18"/>
        <v>14.614810496364209</v>
      </c>
    </row>
    <row r="39" spans="3:12" x14ac:dyDescent="0.25">
      <c r="C39" s="28" t="s">
        <v>94</v>
      </c>
    </row>
    <row r="40" spans="3:12" x14ac:dyDescent="0.25">
      <c r="C40" t="s">
        <v>95</v>
      </c>
    </row>
    <row r="42" spans="3:12" x14ac:dyDescent="0.25">
      <c r="C42" t="s">
        <v>86</v>
      </c>
    </row>
    <row r="43" spans="3:12" x14ac:dyDescent="0.25">
      <c r="G43">
        <v>2023</v>
      </c>
      <c r="H43">
        <v>2024</v>
      </c>
      <c r="I43">
        <v>2025</v>
      </c>
      <c r="J43">
        <v>2026</v>
      </c>
      <c r="K43">
        <v>2027</v>
      </c>
      <c r="L43">
        <v>2028</v>
      </c>
    </row>
    <row r="44" spans="3:12" x14ac:dyDescent="0.25">
      <c r="C44" t="s">
        <v>0</v>
      </c>
      <c r="G44">
        <v>2217</v>
      </c>
      <c r="H44">
        <v>2283</v>
      </c>
      <c r="I44">
        <v>2347</v>
      </c>
      <c r="J44">
        <v>2427</v>
      </c>
      <c r="K44">
        <v>2525</v>
      </c>
      <c r="L44" t="s">
        <v>87</v>
      </c>
    </row>
    <row r="45" spans="3:12" x14ac:dyDescent="0.25">
      <c r="C45" t="s">
        <v>88</v>
      </c>
      <c r="G45">
        <v>352</v>
      </c>
      <c r="H45">
        <v>264</v>
      </c>
      <c r="I45">
        <v>176</v>
      </c>
      <c r="J45">
        <v>88</v>
      </c>
      <c r="K45">
        <v>0</v>
      </c>
      <c r="L45">
        <v>0</v>
      </c>
    </row>
    <row r="47" spans="3:12" x14ac:dyDescent="0.25">
      <c r="G47" s="3">
        <f>G44+G45+G46</f>
        <v>2569</v>
      </c>
      <c r="H47" s="3">
        <f t="shared" ref="H47:K47" si="19">H44+H45+H46</f>
        <v>2547</v>
      </c>
      <c r="I47" s="3">
        <f t="shared" si="19"/>
        <v>2523</v>
      </c>
      <c r="J47" s="3">
        <f t="shared" si="19"/>
        <v>2515</v>
      </c>
      <c r="K47" s="3">
        <f t="shared" si="19"/>
        <v>2525</v>
      </c>
      <c r="L47" s="3"/>
    </row>
    <row r="49" spans="3:11" x14ac:dyDescent="0.25">
      <c r="C49" t="s">
        <v>25</v>
      </c>
      <c r="G49" s="42">
        <f>G44/G47</f>
        <v>0.86298170494355786</v>
      </c>
      <c r="H49" s="42">
        <f t="shared" ref="H49:K49" si="20">H44/H47</f>
        <v>0.89634864546525328</v>
      </c>
      <c r="I49" s="42">
        <f t="shared" si="20"/>
        <v>0.93024177566389221</v>
      </c>
      <c r="J49" s="42">
        <f t="shared" si="20"/>
        <v>0.96500994035785292</v>
      </c>
      <c r="K49" s="42">
        <f t="shared" si="20"/>
        <v>1</v>
      </c>
    </row>
    <row r="50" spans="3:11" x14ac:dyDescent="0.25">
      <c r="C50" t="s">
        <v>26</v>
      </c>
      <c r="G50" s="42">
        <f>G45/G47</f>
        <v>0.1370182950564422</v>
      </c>
      <c r="H50" s="42">
        <f t="shared" ref="H50:K50" si="21">H45/H47</f>
        <v>0.10365135453474676</v>
      </c>
      <c r="I50" s="42">
        <f t="shared" si="21"/>
        <v>6.9758224336107802E-2</v>
      </c>
      <c r="J50" s="42">
        <f t="shared" si="21"/>
        <v>3.4990059642147117E-2</v>
      </c>
      <c r="K50" s="42">
        <f t="shared" si="21"/>
        <v>0</v>
      </c>
    </row>
    <row r="52" spans="3:11" x14ac:dyDescent="0.25">
      <c r="C52" t="s">
        <v>96</v>
      </c>
      <c r="G52">
        <f>0.89/(G49/(G49+G50*(1-0.24)))</f>
        <v>0.9973941362201173</v>
      </c>
      <c r="H52">
        <f t="shared" ref="H52:K52" si="22">0.89/(H49/(H49+H50*(1-0.24)))</f>
        <v>0.9682170827858082</v>
      </c>
      <c r="I52">
        <f t="shared" si="22"/>
        <v>0.94072279505752021</v>
      </c>
      <c r="J52">
        <f t="shared" si="22"/>
        <v>0.91452542233209733</v>
      </c>
      <c r="K52">
        <f t="shared" si="22"/>
        <v>0.89</v>
      </c>
    </row>
    <row r="53" spans="3:11" x14ac:dyDescent="0.25">
      <c r="C53" t="s">
        <v>97</v>
      </c>
      <c r="G53">
        <f>7.9+(8*G52)</f>
        <v>15.879153089760939</v>
      </c>
      <c r="H53">
        <f t="shared" ref="H53:K53" si="23">7.9+(8*H52)</f>
        <v>15.645736662286467</v>
      </c>
      <c r="I53">
        <f t="shared" si="23"/>
        <v>15.425782360460161</v>
      </c>
      <c r="J53">
        <f t="shared" si="23"/>
        <v>15.216203378656779</v>
      </c>
      <c r="K53">
        <f t="shared" si="23"/>
        <v>15.02</v>
      </c>
    </row>
    <row r="54" spans="3:11" x14ac:dyDescent="0.25">
      <c r="C54" t="s">
        <v>98</v>
      </c>
      <c r="G54">
        <f>G34</f>
        <v>5.32</v>
      </c>
      <c r="H54">
        <f t="shared" ref="H54:K54" si="24">H34</f>
        <v>5.32</v>
      </c>
      <c r="I54">
        <f t="shared" si="24"/>
        <v>5.32</v>
      </c>
      <c r="J54">
        <f t="shared" si="24"/>
        <v>6.08</v>
      </c>
      <c r="K54">
        <f t="shared" si="24"/>
        <v>6.08</v>
      </c>
    </row>
    <row r="55" spans="3:11" x14ac:dyDescent="0.25">
      <c r="C55" t="s">
        <v>29</v>
      </c>
      <c r="G55">
        <f>(G49*G53)+(G50*G54)</f>
        <v>14.432355936161931</v>
      </c>
      <c r="H55">
        <f t="shared" ref="H55:K55" si="25">(H49*H53)+(H50*H54)</f>
        <v>14.575460070671379</v>
      </c>
      <c r="I55">
        <f t="shared" si="25"/>
        <v>14.720820927467301</v>
      </c>
      <c r="J55">
        <f t="shared" si="25"/>
        <v>14.896527077534792</v>
      </c>
      <c r="K55">
        <f t="shared" si="25"/>
        <v>15.02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abSelected="1" zoomScale="120" zoomScaleNormal="120" workbookViewId="0">
      <selection sqref="A1:XFD1048576"/>
    </sheetView>
  </sheetViews>
  <sheetFormatPr defaultRowHeight="15" x14ac:dyDescent="0.25"/>
  <cols>
    <col min="5" max="5" width="9.140625" bestFit="1" customWidth="1"/>
  </cols>
  <sheetData>
    <row r="2" spans="3:12" ht="15.75" thickBot="1" x14ac:dyDescent="0.3"/>
    <row r="3" spans="3:12" x14ac:dyDescent="0.25">
      <c r="C3" s="63" t="s">
        <v>99</v>
      </c>
      <c r="H3" s="59" t="s">
        <v>100</v>
      </c>
      <c r="I3" s="60"/>
      <c r="J3" s="60" t="s">
        <v>101</v>
      </c>
      <c r="K3" s="60"/>
      <c r="L3" s="61" t="s">
        <v>102</v>
      </c>
    </row>
    <row r="4" spans="3:12" x14ac:dyDescent="0.25">
      <c r="C4" t="s">
        <v>99</v>
      </c>
      <c r="E4" s="2">
        <v>2242</v>
      </c>
      <c r="H4" s="51" t="s">
        <v>103</v>
      </c>
      <c r="I4" s="47"/>
      <c r="J4" s="47"/>
      <c r="K4" s="47"/>
      <c r="L4" s="52" t="s">
        <v>103</v>
      </c>
    </row>
    <row r="5" spans="3:12" x14ac:dyDescent="0.25">
      <c r="C5" t="s">
        <v>104</v>
      </c>
      <c r="E5" s="2">
        <f>-1851*8%</f>
        <v>-148.08000000000001</v>
      </c>
      <c r="H5" s="51" t="s">
        <v>105</v>
      </c>
      <c r="I5" s="47"/>
      <c r="J5" s="47"/>
      <c r="K5" s="47"/>
      <c r="L5" s="52" t="s">
        <v>105</v>
      </c>
    </row>
    <row r="6" spans="3:12" x14ac:dyDescent="0.25">
      <c r="C6" t="s">
        <v>106</v>
      </c>
      <c r="E6" s="2">
        <f>-556*4%</f>
        <v>-22.240000000000002</v>
      </c>
      <c r="H6" s="51" t="s">
        <v>105</v>
      </c>
      <c r="I6" s="47"/>
      <c r="J6" s="53" t="s">
        <v>103</v>
      </c>
      <c r="K6" s="47"/>
      <c r="L6" s="54"/>
    </row>
    <row r="7" spans="3:12" ht="15.75" thickBot="1" x14ac:dyDescent="0.3">
      <c r="C7" t="s">
        <v>107</v>
      </c>
      <c r="E7" s="2">
        <f>-515*5%</f>
        <v>-25.75</v>
      </c>
      <c r="H7" s="55" t="s">
        <v>103</v>
      </c>
      <c r="I7" s="56"/>
      <c r="J7" s="57" t="s">
        <v>105</v>
      </c>
      <c r="K7" s="56"/>
      <c r="L7" s="58"/>
    </row>
    <row r="8" spans="3:12" x14ac:dyDescent="0.25">
      <c r="C8" t="s">
        <v>108</v>
      </c>
      <c r="E8" s="2">
        <v>200</v>
      </c>
      <c r="H8" s="47"/>
      <c r="I8" s="47"/>
      <c r="J8" s="47"/>
      <c r="K8" s="47"/>
      <c r="L8" s="47"/>
    </row>
    <row r="9" spans="3:12" x14ac:dyDescent="0.25">
      <c r="E9" s="62">
        <f>SUM(E4:E8)</f>
        <v>2245.9300000000003</v>
      </c>
    </row>
    <row r="10" spans="3:12" x14ac:dyDescent="0.25">
      <c r="C10" t="s">
        <v>109</v>
      </c>
      <c r="E10" s="2">
        <v>8</v>
      </c>
    </row>
    <row r="11" spans="3:12" x14ac:dyDescent="0.25">
      <c r="C11" t="s">
        <v>110</v>
      </c>
      <c r="E11" s="2">
        <f>E9/E10</f>
        <v>280.74125000000004</v>
      </c>
    </row>
    <row r="14" spans="3:12" x14ac:dyDescent="0.25">
      <c r="C14" s="63" t="s">
        <v>111</v>
      </c>
    </row>
    <row r="16" spans="3:12" ht="15.75" thickBot="1" x14ac:dyDescent="0.3"/>
    <row r="17" spans="3:11" x14ac:dyDescent="0.25">
      <c r="C17" s="48"/>
      <c r="D17" s="49"/>
      <c r="E17" s="49"/>
      <c r="F17" s="49"/>
      <c r="G17" s="49"/>
      <c r="H17" s="49" t="s">
        <v>112</v>
      </c>
      <c r="I17" s="49"/>
      <c r="J17" s="49"/>
      <c r="K17" s="50"/>
    </row>
    <row r="18" spans="3:11" x14ac:dyDescent="0.25">
      <c r="C18" s="65" t="s">
        <v>113</v>
      </c>
      <c r="D18" s="64" t="s">
        <v>114</v>
      </c>
      <c r="F18" s="16">
        <f>50/8</f>
        <v>6.25</v>
      </c>
      <c r="G18" s="69" t="s">
        <v>115</v>
      </c>
      <c r="H18" s="70">
        <f>F18/F19</f>
        <v>37.878787878787875</v>
      </c>
      <c r="K18" s="35"/>
    </row>
    <row r="19" spans="3:11" ht="15.75" thickBot="1" x14ac:dyDescent="0.3">
      <c r="C19" s="67"/>
      <c r="D19" s="71" t="s">
        <v>27</v>
      </c>
      <c r="E19" s="37"/>
      <c r="F19" s="72">
        <v>0.16500000000000001</v>
      </c>
      <c r="G19" s="37"/>
      <c r="H19" s="37"/>
      <c r="I19" s="37"/>
      <c r="J19" s="37"/>
      <c r="K19" s="38"/>
    </row>
    <row r="20" spans="3:11" ht="15.75" thickBot="1" x14ac:dyDescent="0.3"/>
    <row r="21" spans="3:11" x14ac:dyDescent="0.25">
      <c r="C21" s="48" t="s">
        <v>116</v>
      </c>
      <c r="D21" s="49">
        <v>2023</v>
      </c>
      <c r="E21" s="49">
        <v>2024</v>
      </c>
      <c r="F21" s="49">
        <v>2025</v>
      </c>
      <c r="G21" s="49">
        <v>2026</v>
      </c>
      <c r="H21" s="49">
        <v>2027</v>
      </c>
      <c r="I21" s="49" t="s">
        <v>117</v>
      </c>
      <c r="J21" s="49"/>
      <c r="K21" s="50"/>
    </row>
    <row r="22" spans="3:11" x14ac:dyDescent="0.25">
      <c r="C22" s="65" t="s">
        <v>118</v>
      </c>
      <c r="D22" s="46">
        <v>6.25</v>
      </c>
      <c r="E22" s="46">
        <v>6.25</v>
      </c>
      <c r="F22" s="46">
        <v>6.25</v>
      </c>
      <c r="G22" s="46">
        <v>6.25</v>
      </c>
      <c r="H22" s="46">
        <v>6.25</v>
      </c>
      <c r="I22" s="66" t="s">
        <v>119</v>
      </c>
      <c r="J22" s="66"/>
      <c r="K22" s="35"/>
    </row>
    <row r="23" spans="3:11" x14ac:dyDescent="0.25">
      <c r="C23" s="65"/>
      <c r="D23" s="16"/>
      <c r="E23" s="16"/>
      <c r="F23" s="16"/>
      <c r="G23" s="16"/>
      <c r="H23" s="16">
        <v>105</v>
      </c>
      <c r="I23" s="66" t="s">
        <v>120</v>
      </c>
      <c r="J23" s="66"/>
      <c r="K23" s="35" t="s">
        <v>121</v>
      </c>
    </row>
    <row r="24" spans="3:11" x14ac:dyDescent="0.25">
      <c r="C24" s="65"/>
      <c r="D24">
        <f>D22+D23</f>
        <v>6.25</v>
      </c>
      <c r="E24">
        <f t="shared" ref="E24:H24" si="0">E22+E23</f>
        <v>6.25</v>
      </c>
      <c r="F24">
        <f t="shared" si="0"/>
        <v>6.25</v>
      </c>
      <c r="G24">
        <f t="shared" si="0"/>
        <v>6.25</v>
      </c>
      <c r="H24">
        <f t="shared" si="0"/>
        <v>111.25</v>
      </c>
      <c r="K24" s="35"/>
    </row>
    <row r="25" spans="3:11" x14ac:dyDescent="0.25">
      <c r="C25" s="65" t="s">
        <v>122</v>
      </c>
      <c r="D25" s="16">
        <f>1/1.165</f>
        <v>0.85836909871244638</v>
      </c>
      <c r="E25" s="16">
        <f>D25/1.165</f>
        <v>0.73679750962441748</v>
      </c>
      <c r="F25" s="16">
        <f t="shared" ref="F25:H25" si="1">E25/1.165</f>
        <v>0.63244421426988628</v>
      </c>
      <c r="G25" s="16">
        <f t="shared" si="1"/>
        <v>0.54287057018874363</v>
      </c>
      <c r="H25" s="16">
        <f t="shared" si="1"/>
        <v>0.4659833220504237</v>
      </c>
      <c r="K25" s="35"/>
    </row>
    <row r="26" spans="3:11" x14ac:dyDescent="0.25">
      <c r="C26" s="65" t="s">
        <v>47</v>
      </c>
      <c r="D26">
        <f>D24*D25</f>
        <v>5.3648068669527902</v>
      </c>
      <c r="E26">
        <f t="shared" ref="E26:H26" si="2">E24*E25</f>
        <v>4.604984435152609</v>
      </c>
      <c r="F26">
        <f t="shared" si="2"/>
        <v>3.9527763391867894</v>
      </c>
      <c r="G26">
        <f t="shared" si="2"/>
        <v>3.3929410636796478</v>
      </c>
      <c r="H26">
        <f t="shared" si="2"/>
        <v>51.840644578109639</v>
      </c>
      <c r="K26" s="35"/>
    </row>
    <row r="27" spans="3:11" x14ac:dyDescent="0.25">
      <c r="C27" s="65"/>
      <c r="K27" s="35"/>
    </row>
    <row r="28" spans="3:11" ht="15.75" thickBot="1" x14ac:dyDescent="0.3">
      <c r="C28" s="67" t="s">
        <v>123</v>
      </c>
      <c r="D28" s="68">
        <f>D26+E26+F26+G26+H26</f>
        <v>69.15615328308148</v>
      </c>
      <c r="E28" s="37"/>
      <c r="F28" s="37"/>
      <c r="G28" s="37"/>
      <c r="H28" s="37"/>
      <c r="I28" s="37"/>
      <c r="J28" s="37"/>
      <c r="K28" s="38"/>
    </row>
    <row r="31" spans="3:11" x14ac:dyDescent="0.25">
      <c r="C31" s="63" t="s">
        <v>124</v>
      </c>
    </row>
    <row r="32" spans="3:11" ht="15.75" thickBot="1" x14ac:dyDescent="0.3"/>
    <row r="33" spans="2:8" x14ac:dyDescent="0.25">
      <c r="C33" t="s">
        <v>125</v>
      </c>
      <c r="E33" s="48" t="s">
        <v>126</v>
      </c>
      <c r="F33" s="49"/>
      <c r="G33" s="49" t="s">
        <v>127</v>
      </c>
      <c r="H33" s="50"/>
    </row>
    <row r="34" spans="2:8" x14ac:dyDescent="0.25">
      <c r="E34" s="65"/>
      <c r="G34" t="s">
        <v>128</v>
      </c>
      <c r="H34" s="35"/>
    </row>
    <row r="35" spans="2:8" ht="15.75" thickBot="1" x14ac:dyDescent="0.3">
      <c r="C35" t="s">
        <v>129</v>
      </c>
      <c r="E35" s="67"/>
      <c r="F35" s="37"/>
      <c r="G35" s="37" t="s">
        <v>130</v>
      </c>
      <c r="H35" s="38">
        <f>135/45</f>
        <v>3</v>
      </c>
    </row>
    <row r="36" spans="2:8" x14ac:dyDescent="0.25">
      <c r="E36" t="s">
        <v>131</v>
      </c>
    </row>
    <row r="37" spans="2:8" x14ac:dyDescent="0.25">
      <c r="C37" t="s">
        <v>132</v>
      </c>
    </row>
    <row r="38" spans="2:8" x14ac:dyDescent="0.25">
      <c r="B38" t="s">
        <v>133</v>
      </c>
      <c r="C38" t="s">
        <v>134</v>
      </c>
      <c r="D38" t="s">
        <v>135</v>
      </c>
    </row>
    <row r="39" spans="2:8" x14ac:dyDescent="0.25">
      <c r="C39" t="s">
        <v>136</v>
      </c>
      <c r="D39">
        <f>3*39</f>
        <v>117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="130" zoomScaleNormal="130" workbookViewId="0">
      <selection sqref="A1:XFD1048576"/>
    </sheetView>
  </sheetViews>
  <sheetFormatPr defaultRowHeight="15" x14ac:dyDescent="0.25"/>
  <cols>
    <col min="5" max="5" width="13" customWidth="1"/>
    <col min="6" max="6" width="14.140625" bestFit="1" customWidth="1"/>
    <col min="7" max="7" width="9.85546875" customWidth="1"/>
    <col min="8" max="8" width="11.7109375" customWidth="1"/>
    <col min="9" max="9" width="12.140625" customWidth="1"/>
    <col min="10" max="10" width="9.42578125" bestFit="1" customWidth="1"/>
  </cols>
  <sheetData>
    <row r="1" spans="2:12" x14ac:dyDescent="0.25">
      <c r="B1" t="s">
        <v>137</v>
      </c>
      <c r="F1" t="s">
        <v>138</v>
      </c>
      <c r="H1" t="s">
        <v>139</v>
      </c>
    </row>
    <row r="2" spans="2:12" x14ac:dyDescent="0.25">
      <c r="B2" t="s">
        <v>140</v>
      </c>
      <c r="F2" s="2">
        <v>2242</v>
      </c>
      <c r="H2" t="s">
        <v>141</v>
      </c>
      <c r="I2">
        <v>39</v>
      </c>
    </row>
    <row r="3" spans="2:12" x14ac:dyDescent="0.25">
      <c r="B3" t="s">
        <v>142</v>
      </c>
      <c r="F3" s="2">
        <v>30</v>
      </c>
    </row>
    <row r="4" spans="2:12" x14ac:dyDescent="0.25">
      <c r="B4" t="s">
        <v>143</v>
      </c>
      <c r="F4" s="2">
        <v>-20</v>
      </c>
      <c r="H4" t="s">
        <v>126</v>
      </c>
    </row>
    <row r="5" spans="2:12" x14ac:dyDescent="0.25">
      <c r="B5" t="s">
        <v>144</v>
      </c>
      <c r="F5" s="2">
        <v>-10</v>
      </c>
      <c r="H5" t="s">
        <v>145</v>
      </c>
      <c r="I5">
        <v>45</v>
      </c>
    </row>
    <row r="6" spans="2:12" x14ac:dyDescent="0.25">
      <c r="B6" t="s">
        <v>146</v>
      </c>
      <c r="F6" s="2">
        <v>-15</v>
      </c>
      <c r="H6" t="s">
        <v>147</v>
      </c>
      <c r="I6">
        <v>135</v>
      </c>
    </row>
    <row r="7" spans="2:12" ht="15.75" thickBot="1" x14ac:dyDescent="0.3">
      <c r="F7" s="74">
        <f>SUM(F2:F6)</f>
        <v>2227</v>
      </c>
      <c r="H7" t="s">
        <v>130</v>
      </c>
      <c r="I7">
        <f>I6/I5</f>
        <v>3</v>
      </c>
      <c r="J7" t="s">
        <v>148</v>
      </c>
    </row>
    <row r="8" spans="2:12" x14ac:dyDescent="0.25">
      <c r="B8" t="s">
        <v>149</v>
      </c>
      <c r="F8" s="2" t="s">
        <v>150</v>
      </c>
    </row>
    <row r="9" spans="2:12" x14ac:dyDescent="0.25">
      <c r="B9" s="66" t="s">
        <v>53</v>
      </c>
      <c r="C9" s="66"/>
      <c r="D9" s="66" t="s">
        <v>151</v>
      </c>
      <c r="E9" s="66"/>
      <c r="F9" s="75">
        <f>F7/8</f>
        <v>278.375</v>
      </c>
      <c r="H9" s="66" t="s">
        <v>152</v>
      </c>
      <c r="I9" s="66">
        <f>I7*I2</f>
        <v>117</v>
      </c>
    </row>
    <row r="10" spans="2:12" x14ac:dyDescent="0.25">
      <c r="F10" s="2"/>
    </row>
    <row r="11" spans="2:12" x14ac:dyDescent="0.25">
      <c r="B11" s="63" t="s">
        <v>153</v>
      </c>
      <c r="C11" s="63"/>
      <c r="D11" s="63"/>
      <c r="F11" s="2" t="s">
        <v>154</v>
      </c>
    </row>
    <row r="12" spans="2:12" x14ac:dyDescent="0.25">
      <c r="B12" s="17">
        <v>0.3</v>
      </c>
      <c r="C12" s="17">
        <v>-0.02</v>
      </c>
      <c r="D12" s="76">
        <f>B12*C12</f>
        <v>-6.0000000000000001E-3</v>
      </c>
      <c r="J12" s="1"/>
      <c r="L12" t="s">
        <v>9</v>
      </c>
    </row>
    <row r="13" spans="2:12" x14ac:dyDescent="0.25">
      <c r="B13" s="17">
        <v>0.1</v>
      </c>
      <c r="C13" s="17">
        <v>-0.01</v>
      </c>
      <c r="D13" s="76">
        <f t="shared" ref="D13:D14" si="0">B13*C13</f>
        <v>-1E-3</v>
      </c>
      <c r="F13" s="15" t="s">
        <v>10</v>
      </c>
      <c r="G13" s="6" t="s">
        <v>11</v>
      </c>
      <c r="H13" s="6"/>
      <c r="L13" t="s">
        <v>12</v>
      </c>
    </row>
    <row r="14" spans="2:12" x14ac:dyDescent="0.25">
      <c r="B14" s="17">
        <v>0.6</v>
      </c>
      <c r="C14" s="17">
        <v>-0.03</v>
      </c>
      <c r="D14" s="76">
        <f t="shared" si="0"/>
        <v>-1.7999999999999999E-2</v>
      </c>
      <c r="F14" s="1" t="s">
        <v>13</v>
      </c>
      <c r="G14" t="s">
        <v>14</v>
      </c>
      <c r="H14" t="s">
        <v>15</v>
      </c>
      <c r="L14" t="s">
        <v>16</v>
      </c>
    </row>
    <row r="15" spans="2:12" ht="15.75" thickBot="1" x14ac:dyDescent="0.3">
      <c r="B15" t="s">
        <v>155</v>
      </c>
      <c r="D15" s="77">
        <f>SUM(D12:D14)</f>
        <v>-2.4999999999999998E-2</v>
      </c>
      <c r="F15" s="1"/>
      <c r="L15" t="s">
        <v>17</v>
      </c>
    </row>
    <row r="16" spans="2:12" x14ac:dyDescent="0.25">
      <c r="B16" t="s">
        <v>156</v>
      </c>
      <c r="F16" t="s">
        <v>18</v>
      </c>
      <c r="H16" s="66" t="s">
        <v>19</v>
      </c>
      <c r="I16" s="78"/>
    </row>
    <row r="17" spans="1:9" x14ac:dyDescent="0.25">
      <c r="H17" s="66"/>
      <c r="I17" s="66" t="s">
        <v>20</v>
      </c>
    </row>
    <row r="19" spans="1:9" x14ac:dyDescent="0.25">
      <c r="H19" t="s">
        <v>21</v>
      </c>
      <c r="I19">
        <v>1</v>
      </c>
    </row>
    <row r="20" spans="1:9" x14ac:dyDescent="0.25">
      <c r="H20" t="s">
        <v>22</v>
      </c>
      <c r="I20" s="17">
        <v>0.14000000000000001</v>
      </c>
    </row>
    <row r="21" spans="1:9" x14ac:dyDescent="0.25">
      <c r="H21" t="s">
        <v>23</v>
      </c>
      <c r="I21" s="17">
        <v>0.86</v>
      </c>
    </row>
    <row r="22" spans="1:9" x14ac:dyDescent="0.25">
      <c r="H22" s="6" t="s">
        <v>24</v>
      </c>
      <c r="I22" s="79">
        <f>I19*((I21/(I21+I20*(1-0.24))))</f>
        <v>0.88990066225165554</v>
      </c>
    </row>
    <row r="24" spans="1:9" x14ac:dyDescent="0.25">
      <c r="F24" t="s">
        <v>157</v>
      </c>
      <c r="H24" t="s">
        <v>22</v>
      </c>
      <c r="I24" s="17">
        <v>0.3</v>
      </c>
    </row>
    <row r="25" spans="1:9" x14ac:dyDescent="0.25">
      <c r="H25" t="s">
        <v>23</v>
      </c>
      <c r="I25" s="17">
        <v>0.7</v>
      </c>
    </row>
    <row r="26" spans="1:9" x14ac:dyDescent="0.25">
      <c r="H26" t="s">
        <v>158</v>
      </c>
      <c r="I26" s="79">
        <f>I22/((I25/(I25+I24*(1-0.24))))</f>
        <v>1.1797540208136235</v>
      </c>
    </row>
    <row r="28" spans="1:9" x14ac:dyDescent="0.25">
      <c r="F28" s="5" t="s">
        <v>159</v>
      </c>
      <c r="G28" s="5"/>
      <c r="H28" s="5"/>
      <c r="I28" s="92">
        <f>7.9%+(8%*I26)</f>
        <v>0.17338032166508988</v>
      </c>
    </row>
    <row r="29" spans="1:9" x14ac:dyDescent="0.25">
      <c r="F29" s="5" t="s">
        <v>160</v>
      </c>
      <c r="G29" s="5"/>
      <c r="H29" s="5"/>
      <c r="I29" s="92">
        <f>7%*(1-0.24)</f>
        <v>5.3200000000000004E-2</v>
      </c>
    </row>
    <row r="31" spans="1:9" x14ac:dyDescent="0.25">
      <c r="F31" t="s">
        <v>161</v>
      </c>
      <c r="I31" s="76">
        <f>(70%*17.3%)+(30%*5.3%)</f>
        <v>0.13700000000000001</v>
      </c>
    </row>
    <row r="32" spans="1:9" x14ac:dyDescent="0.25">
      <c r="A32" s="6" t="s">
        <v>162</v>
      </c>
    </row>
    <row r="33" spans="1:10" x14ac:dyDescent="0.25">
      <c r="A33" s="10" t="s">
        <v>163</v>
      </c>
      <c r="B33" s="10"/>
      <c r="C33" s="10"/>
      <c r="D33" s="10"/>
      <c r="E33" s="10"/>
      <c r="G33" t="s">
        <v>164</v>
      </c>
      <c r="J33">
        <f>3141*1.045</f>
        <v>3282.3449999999998</v>
      </c>
    </row>
    <row r="34" spans="1:10" x14ac:dyDescent="0.25">
      <c r="A34" s="10" t="s">
        <v>165</v>
      </c>
      <c r="B34" s="10"/>
      <c r="C34" s="10"/>
      <c r="D34" s="10"/>
      <c r="E34" s="10"/>
      <c r="G34" t="s">
        <v>166</v>
      </c>
    </row>
    <row r="35" spans="1:10" x14ac:dyDescent="0.25">
      <c r="A35" s="10" t="s">
        <v>167</v>
      </c>
      <c r="B35" s="10"/>
      <c r="C35" s="10"/>
      <c r="D35" s="10"/>
      <c r="E35" s="10"/>
      <c r="G35" t="s">
        <v>168</v>
      </c>
      <c r="J35" s="76">
        <f>13.3%-2.5%</f>
        <v>0.10800000000000001</v>
      </c>
    </row>
    <row r="36" spans="1:10" x14ac:dyDescent="0.25">
      <c r="A36" s="10" t="s">
        <v>169</v>
      </c>
      <c r="B36" s="10"/>
      <c r="C36" s="10"/>
      <c r="D36" s="10"/>
      <c r="E36" s="10"/>
      <c r="G36" s="5" t="s">
        <v>170</v>
      </c>
      <c r="H36" s="5"/>
      <c r="I36" s="5"/>
      <c r="J36" s="94">
        <f>J33*J35</f>
        <v>354.49326000000002</v>
      </c>
    </row>
    <row r="37" spans="1:10" x14ac:dyDescent="0.25">
      <c r="A37" s="10" t="s">
        <v>171</v>
      </c>
      <c r="B37" s="10"/>
      <c r="C37" s="10"/>
      <c r="D37" s="10"/>
      <c r="E37" s="10"/>
      <c r="G37" t="s">
        <v>172</v>
      </c>
      <c r="J37" s="18">
        <f>-J36*24%</f>
        <v>-85.078382399999995</v>
      </c>
    </row>
    <row r="38" spans="1:10" x14ac:dyDescent="0.25">
      <c r="A38" s="10" t="s">
        <v>173</v>
      </c>
      <c r="B38" s="10"/>
      <c r="C38" s="10"/>
      <c r="D38" s="10"/>
      <c r="E38" s="10"/>
      <c r="G38" t="s">
        <v>174</v>
      </c>
      <c r="J38" s="18">
        <f>-J33*0.1%</f>
        <v>-3.2823449999999998</v>
      </c>
    </row>
    <row r="39" spans="1:10" x14ac:dyDescent="0.25">
      <c r="A39" s="10" t="s">
        <v>175</v>
      </c>
      <c r="B39" s="10"/>
      <c r="C39" s="10"/>
      <c r="D39" s="93">
        <f>419/3141</f>
        <v>0.13339700732250875</v>
      </c>
      <c r="E39" s="10"/>
      <c r="G39" t="s">
        <v>176</v>
      </c>
      <c r="J39" s="18">
        <f>-J33*0.5%</f>
        <v>-16.411725000000001</v>
      </c>
    </row>
    <row r="40" spans="1:10" ht="15.75" thickBot="1" x14ac:dyDescent="0.3">
      <c r="G40" s="5" t="s">
        <v>177</v>
      </c>
      <c r="J40" s="95">
        <f>SUM(J36:J39)</f>
        <v>249.7208076</v>
      </c>
    </row>
    <row r="42" spans="1:10" x14ac:dyDescent="0.25">
      <c r="G42" s="5" t="s">
        <v>178</v>
      </c>
      <c r="H42" s="5" t="s">
        <v>179</v>
      </c>
      <c r="I42" s="5"/>
      <c r="J42" s="94">
        <f>J40/(I31-4.5%)</f>
        <v>2714.3566043478259</v>
      </c>
    </row>
    <row r="43" spans="1:10" x14ac:dyDescent="0.25">
      <c r="G43" t="s">
        <v>180</v>
      </c>
      <c r="J43" s="18">
        <v>-681</v>
      </c>
    </row>
    <row r="44" spans="1:10" ht="15.75" thickBot="1" x14ac:dyDescent="0.3">
      <c r="G44" t="s">
        <v>181</v>
      </c>
      <c r="J44" s="97">
        <f>SUM(J42:J43)</f>
        <v>2033.3566043478259</v>
      </c>
    </row>
    <row r="45" spans="1:10" x14ac:dyDescent="0.25">
      <c r="G45" t="s">
        <v>52</v>
      </c>
      <c r="J45" t="s">
        <v>150</v>
      </c>
    </row>
    <row r="46" spans="1:10" x14ac:dyDescent="0.25">
      <c r="G46" s="5" t="s">
        <v>53</v>
      </c>
      <c r="H46" s="5"/>
      <c r="I46" s="5"/>
      <c r="J46" s="96">
        <f>J44/8</f>
        <v>254.16957554347823</v>
      </c>
    </row>
    <row r="47" spans="1:10" x14ac:dyDescent="0.25">
      <c r="A47" s="66"/>
      <c r="B47" s="66"/>
      <c r="C47" s="66" t="s">
        <v>151</v>
      </c>
    </row>
    <row r="48" spans="1:10" x14ac:dyDescent="0.25">
      <c r="A48" s="66" t="s">
        <v>182</v>
      </c>
      <c r="B48" s="66"/>
      <c r="C48" s="66">
        <v>278</v>
      </c>
    </row>
    <row r="49" spans="1:9" x14ac:dyDescent="0.25">
      <c r="A49" s="66" t="s">
        <v>130</v>
      </c>
      <c r="B49" s="66"/>
      <c r="C49" s="66">
        <v>117</v>
      </c>
    </row>
    <row r="50" spans="1:9" x14ac:dyDescent="0.25">
      <c r="A50" s="66" t="s">
        <v>122</v>
      </c>
      <c r="B50" s="66"/>
      <c r="C50" s="66">
        <v>254</v>
      </c>
    </row>
    <row r="54" spans="1:9" x14ac:dyDescent="0.25">
      <c r="A54" s="63" t="s">
        <v>183</v>
      </c>
    </row>
    <row r="56" spans="1:9" x14ac:dyDescent="0.25">
      <c r="A56" t="s">
        <v>184</v>
      </c>
      <c r="C56" t="s">
        <v>185</v>
      </c>
      <c r="G56" t="s">
        <v>186</v>
      </c>
    </row>
    <row r="57" spans="1:9" x14ac:dyDescent="0.25">
      <c r="C57" t="s">
        <v>187</v>
      </c>
      <c r="E57" s="75">
        <f>150000*401</f>
        <v>60150000</v>
      </c>
      <c r="G57" t="s">
        <v>188</v>
      </c>
    </row>
    <row r="58" spans="1:9" x14ac:dyDescent="0.25">
      <c r="I58" s="75">
        <f>150000*400</f>
        <v>60000000</v>
      </c>
    </row>
    <row r="59" spans="1:9" x14ac:dyDescent="0.25">
      <c r="I59" s="73"/>
    </row>
    <row r="60" spans="1:9" x14ac:dyDescent="0.25">
      <c r="A60" t="s">
        <v>189</v>
      </c>
    </row>
    <row r="61" spans="1:9" x14ac:dyDescent="0.25">
      <c r="A61" t="s">
        <v>190</v>
      </c>
      <c r="F61" s="18">
        <f>150000/(1+0.015)</f>
        <v>147783.2512315271</v>
      </c>
    </row>
    <row r="62" spans="1:9" x14ac:dyDescent="0.25">
      <c r="A62" t="s">
        <v>191</v>
      </c>
      <c r="F62" s="4">
        <f>F61*365</f>
        <v>53940886.699507393</v>
      </c>
    </row>
    <row r="63" spans="1:9" x14ac:dyDescent="0.25">
      <c r="A63" t="s">
        <v>192</v>
      </c>
    </row>
    <row r="64" spans="1:9" x14ac:dyDescent="0.25">
      <c r="A64" t="s">
        <v>193</v>
      </c>
      <c r="F64" s="98">
        <f>F62*(1+0.045)</f>
        <v>56368226.600985222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topLeftCell="B1" zoomScale="110" zoomScaleNormal="110" workbookViewId="0">
      <selection activeCell="B1" sqref="A1:XFD1048576"/>
    </sheetView>
  </sheetViews>
  <sheetFormatPr defaultRowHeight="15" x14ac:dyDescent="0.25"/>
  <cols>
    <col min="3" max="3" width="12.28515625" customWidth="1"/>
    <col min="4" max="11" width="9.140625" bestFit="1" customWidth="1"/>
  </cols>
  <sheetData>
    <row r="1" spans="2:13" s="5" customFormat="1" x14ac:dyDescent="0.25">
      <c r="B1" s="25"/>
      <c r="C1" s="25"/>
      <c r="D1" s="25">
        <v>2020</v>
      </c>
      <c r="E1" s="25">
        <v>2021</v>
      </c>
      <c r="F1" s="25">
        <v>2022</v>
      </c>
      <c r="G1" s="101">
        <v>2023</v>
      </c>
      <c r="H1" s="101">
        <v>2024</v>
      </c>
      <c r="I1" s="101">
        <v>2025</v>
      </c>
      <c r="J1" s="101">
        <v>2026</v>
      </c>
      <c r="K1" s="101">
        <v>2027</v>
      </c>
    </row>
    <row r="2" spans="2:13" x14ac:dyDescent="0.25">
      <c r="B2" s="99">
        <v>0.25</v>
      </c>
      <c r="C2" s="66" t="s">
        <v>194</v>
      </c>
      <c r="D2" s="75">
        <f>2751*B2</f>
        <v>687.75</v>
      </c>
      <c r="E2" s="75">
        <f>F2</f>
        <v>785.25</v>
      </c>
      <c r="F2" s="75">
        <f>3141*B2</f>
        <v>785.25</v>
      </c>
      <c r="G2" s="75"/>
      <c r="H2" s="75"/>
      <c r="I2" s="75"/>
      <c r="J2" s="75"/>
      <c r="K2" s="75"/>
      <c r="M2" t="s">
        <v>195</v>
      </c>
    </row>
    <row r="3" spans="2:13" x14ac:dyDescent="0.25">
      <c r="B3" s="99">
        <v>0.15</v>
      </c>
      <c r="C3" s="66" t="s">
        <v>196</v>
      </c>
      <c r="D3" s="75">
        <f t="shared" ref="D3:D6" si="0">2751*B3</f>
        <v>412.65</v>
      </c>
      <c r="E3" s="75">
        <f>(F3/115)*100</f>
        <v>409.69565217391306</v>
      </c>
      <c r="F3" s="75">
        <f t="shared" ref="F3:F6" si="1">3141*B3</f>
        <v>471.15</v>
      </c>
      <c r="G3" s="75"/>
      <c r="H3" s="75"/>
      <c r="I3" s="75"/>
      <c r="J3" s="75"/>
      <c r="K3" s="75"/>
      <c r="M3" t="s">
        <v>197</v>
      </c>
    </row>
    <row r="4" spans="2:13" x14ac:dyDescent="0.25">
      <c r="B4" s="99">
        <v>0.2</v>
      </c>
      <c r="C4" s="66" t="s">
        <v>198</v>
      </c>
      <c r="D4" s="75">
        <f t="shared" si="0"/>
        <v>550.20000000000005</v>
      </c>
      <c r="E4" s="75">
        <f>F4</f>
        <v>628.20000000000005</v>
      </c>
      <c r="F4" s="75">
        <f t="shared" si="1"/>
        <v>628.20000000000005</v>
      </c>
      <c r="G4" s="75"/>
      <c r="H4" s="75"/>
      <c r="I4" s="75"/>
      <c r="J4" s="75"/>
      <c r="K4" s="75"/>
    </row>
    <row r="5" spans="2:13" x14ac:dyDescent="0.25">
      <c r="B5" s="99">
        <v>0.35</v>
      </c>
      <c r="C5" s="66" t="s">
        <v>199</v>
      </c>
      <c r="D5" s="75">
        <f t="shared" si="0"/>
        <v>962.84999999999991</v>
      </c>
      <c r="E5" s="75">
        <f>(F5/125)*100</f>
        <v>879.4799999999999</v>
      </c>
      <c r="F5" s="75">
        <f t="shared" si="1"/>
        <v>1099.3499999999999</v>
      </c>
      <c r="G5" s="75"/>
      <c r="H5" s="75"/>
      <c r="I5" s="75"/>
      <c r="J5" s="75"/>
      <c r="K5" s="75"/>
      <c r="M5" t="s">
        <v>200</v>
      </c>
    </row>
    <row r="6" spans="2:13" x14ac:dyDescent="0.25">
      <c r="B6" s="99">
        <v>0.05</v>
      </c>
      <c r="C6" s="66" t="s">
        <v>201</v>
      </c>
      <c r="D6" s="75">
        <f t="shared" si="0"/>
        <v>137.55000000000001</v>
      </c>
      <c r="E6" s="75">
        <f>F6</f>
        <v>157.05000000000001</v>
      </c>
      <c r="F6" s="75">
        <f t="shared" si="1"/>
        <v>157.05000000000001</v>
      </c>
      <c r="G6" s="75"/>
      <c r="H6" s="75"/>
      <c r="I6" s="75"/>
      <c r="J6" s="75"/>
      <c r="K6" s="75"/>
    </row>
    <row r="7" spans="2:13" s="5" customFormat="1" ht="15.6" customHeight="1" x14ac:dyDescent="0.25">
      <c r="B7" s="25"/>
      <c r="C7" s="25" t="s">
        <v>202</v>
      </c>
      <c r="D7" s="100">
        <v>2751</v>
      </c>
      <c r="E7" s="100">
        <v>2868</v>
      </c>
      <c r="F7" s="100">
        <v>3141</v>
      </c>
      <c r="G7" s="100">
        <v>3769</v>
      </c>
      <c r="H7" s="100">
        <v>4146</v>
      </c>
      <c r="I7" s="100">
        <v>4561</v>
      </c>
      <c r="J7" s="100">
        <v>5017</v>
      </c>
      <c r="K7" s="100">
        <v>5518</v>
      </c>
    </row>
    <row r="8" spans="2:13" x14ac:dyDescent="0.25">
      <c r="B8" s="66"/>
      <c r="C8" s="66"/>
      <c r="D8" s="75"/>
      <c r="E8" s="75"/>
      <c r="F8" s="75"/>
      <c r="G8" s="75">
        <f>G7-F7</f>
        <v>628</v>
      </c>
      <c r="H8" s="75">
        <f>H7-G7</f>
        <v>377</v>
      </c>
      <c r="I8" s="75">
        <f t="shared" ref="I8:K8" si="2">I7-H7</f>
        <v>415</v>
      </c>
      <c r="J8" s="75">
        <f t="shared" si="2"/>
        <v>456</v>
      </c>
      <c r="K8" s="75">
        <f t="shared" si="2"/>
        <v>501</v>
      </c>
    </row>
    <row r="12" spans="2:13" x14ac:dyDescent="0.25">
      <c r="D12" s="5">
        <v>2020</v>
      </c>
      <c r="E12" s="5">
        <v>2021</v>
      </c>
      <c r="F12" s="5">
        <v>2022</v>
      </c>
      <c r="G12" s="90">
        <v>2023</v>
      </c>
      <c r="H12" s="90">
        <v>2024</v>
      </c>
      <c r="I12" s="90">
        <v>2025</v>
      </c>
      <c r="J12" s="90">
        <v>2026</v>
      </c>
      <c r="K12" s="90">
        <v>2027</v>
      </c>
    </row>
    <row r="13" spans="2:13" x14ac:dyDescent="0.25">
      <c r="C13" t="s">
        <v>203</v>
      </c>
      <c r="D13">
        <v>965</v>
      </c>
      <c r="E13" s="1">
        <v>1375</v>
      </c>
      <c r="F13" s="1">
        <v>1851</v>
      </c>
      <c r="G13" s="1">
        <v>1980</v>
      </c>
      <c r="H13" s="1">
        <v>1950</v>
      </c>
      <c r="I13" s="1">
        <v>2010</v>
      </c>
      <c r="J13" s="1">
        <v>2070</v>
      </c>
      <c r="K13" s="1">
        <v>2130</v>
      </c>
    </row>
    <row r="14" spans="2:13" x14ac:dyDescent="0.25">
      <c r="C14" t="s">
        <v>204</v>
      </c>
      <c r="D14">
        <v>109</v>
      </c>
      <c r="E14">
        <v>45</v>
      </c>
      <c r="F14">
        <v>300</v>
      </c>
      <c r="G14">
        <v>26</v>
      </c>
      <c r="H14">
        <v>28</v>
      </c>
      <c r="I14">
        <v>30</v>
      </c>
      <c r="J14">
        <v>33</v>
      </c>
      <c r="K14">
        <v>35</v>
      </c>
    </row>
    <row r="16" spans="2:13" x14ac:dyDescent="0.25">
      <c r="G16" s="102">
        <f>G13-F13</f>
        <v>129</v>
      </c>
      <c r="H16" s="1">
        <f t="shared" ref="H16:K16" si="3">H13-G13</f>
        <v>-30</v>
      </c>
      <c r="I16" s="1">
        <f t="shared" si="3"/>
        <v>60</v>
      </c>
      <c r="J16" s="1">
        <f t="shared" si="3"/>
        <v>60</v>
      </c>
      <c r="K16" s="1">
        <f t="shared" si="3"/>
        <v>60</v>
      </c>
    </row>
    <row r="17" spans="3:11" x14ac:dyDescent="0.25">
      <c r="G17" s="103"/>
    </row>
    <row r="18" spans="3:11" x14ac:dyDescent="0.25">
      <c r="C18" t="s">
        <v>205</v>
      </c>
      <c r="D18">
        <v>100</v>
      </c>
      <c r="E18">
        <v>100</v>
      </c>
      <c r="F18">
        <v>100</v>
      </c>
      <c r="G18" s="103">
        <v>125</v>
      </c>
      <c r="H18">
        <v>125</v>
      </c>
      <c r="I18">
        <v>125</v>
      </c>
      <c r="J18">
        <v>125</v>
      </c>
      <c r="K18">
        <v>125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zoomScale="130" zoomScaleNormal="130" workbookViewId="0">
      <selection sqref="A1:XFD1048576"/>
    </sheetView>
  </sheetViews>
  <sheetFormatPr defaultRowHeight="15" x14ac:dyDescent="0.25"/>
  <cols>
    <col min="3" max="5" width="11.140625" customWidth="1"/>
  </cols>
  <sheetData>
    <row r="1" spans="2:8" x14ac:dyDescent="0.25">
      <c r="C1" s="104">
        <v>44651</v>
      </c>
      <c r="D1" t="s">
        <v>206</v>
      </c>
      <c r="E1" s="104" t="s">
        <v>207</v>
      </c>
      <c r="G1" s="104"/>
    </row>
    <row r="2" spans="2:8" x14ac:dyDescent="0.25">
      <c r="B2" t="s">
        <v>116</v>
      </c>
      <c r="C2">
        <v>0</v>
      </c>
      <c r="D2">
        <v>1</v>
      </c>
      <c r="E2">
        <v>2</v>
      </c>
      <c r="F2">
        <v>3</v>
      </c>
      <c r="G2">
        <v>4</v>
      </c>
      <c r="H2">
        <v>5</v>
      </c>
    </row>
    <row r="3" spans="2:8" x14ac:dyDescent="0.25">
      <c r="D3" t="s">
        <v>208</v>
      </c>
    </row>
    <row r="4" spans="2:8" x14ac:dyDescent="0.25">
      <c r="D4" t="s">
        <v>209</v>
      </c>
    </row>
  </sheetData>
  <phoneticPr fontId="11" type="noConversion"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zoomScale="130" zoomScaleNormal="130" workbookViewId="0">
      <selection sqref="A1:XFD1048576"/>
    </sheetView>
  </sheetViews>
  <sheetFormatPr defaultRowHeight="15" x14ac:dyDescent="0.25"/>
  <cols>
    <col min="2" max="2" width="24.140625" bestFit="1" customWidth="1"/>
  </cols>
  <sheetData>
    <row r="1" spans="2:12" x14ac:dyDescent="0.25">
      <c r="C1" s="5" t="s">
        <v>210</v>
      </c>
      <c r="D1" s="106" t="s">
        <v>211</v>
      </c>
      <c r="E1" s="106" t="s">
        <v>212</v>
      </c>
      <c r="F1" s="106" t="s">
        <v>213</v>
      </c>
      <c r="G1" s="106" t="s">
        <v>214</v>
      </c>
      <c r="H1" s="106" t="s">
        <v>215</v>
      </c>
    </row>
    <row r="2" spans="2:12" x14ac:dyDescent="0.25">
      <c r="B2" t="s">
        <v>216</v>
      </c>
      <c r="C2" s="2"/>
      <c r="D2" s="2">
        <v>363</v>
      </c>
      <c r="E2" s="2">
        <v>431</v>
      </c>
      <c r="F2" s="2">
        <v>550</v>
      </c>
      <c r="G2" s="2"/>
      <c r="H2" s="2"/>
    </row>
    <row r="3" spans="2:12" x14ac:dyDescent="0.25">
      <c r="B3" t="s">
        <v>217</v>
      </c>
      <c r="C3" s="2"/>
      <c r="D3" s="2">
        <v>35</v>
      </c>
      <c r="E3" s="2">
        <v>42</v>
      </c>
      <c r="F3" s="2">
        <v>60</v>
      </c>
      <c r="G3" s="2"/>
      <c r="H3" s="2"/>
    </row>
    <row r="4" spans="2:12" x14ac:dyDescent="0.25">
      <c r="B4" t="s">
        <v>218</v>
      </c>
      <c r="C4" s="2"/>
      <c r="D4" s="105">
        <f>D3/D2</f>
        <v>9.6418732782369149E-2</v>
      </c>
      <c r="E4" s="105">
        <f t="shared" ref="E4:F4" si="0">E3/E2</f>
        <v>9.7447795823665889E-2</v>
      </c>
      <c r="F4" s="105">
        <f t="shared" si="0"/>
        <v>0.10909090909090909</v>
      </c>
      <c r="G4" s="105"/>
      <c r="H4" s="105"/>
    </row>
    <row r="5" spans="2:12" x14ac:dyDescent="0.25">
      <c r="B5" t="s">
        <v>219</v>
      </c>
      <c r="C5" s="2"/>
      <c r="D5" s="76">
        <v>-2.5000000000000001E-2</v>
      </c>
      <c r="E5" s="76">
        <v>-2.5000000000000001E-2</v>
      </c>
      <c r="F5" s="76">
        <v>-2.5000000000000001E-2</v>
      </c>
      <c r="G5" s="76"/>
      <c r="H5" s="76"/>
    </row>
    <row r="6" spans="2:12" x14ac:dyDescent="0.25">
      <c r="B6" t="s">
        <v>220</v>
      </c>
      <c r="C6" s="2"/>
      <c r="D6" s="76">
        <f>D4+D5</f>
        <v>7.1418732782369154E-2</v>
      </c>
      <c r="E6" s="76">
        <f t="shared" ref="E6:F6" si="1">E4+E5</f>
        <v>7.2447795823665895E-2</v>
      </c>
      <c r="F6" s="76">
        <f t="shared" si="1"/>
        <v>8.4090909090909077E-2</v>
      </c>
      <c r="G6" s="76"/>
      <c r="H6" s="76"/>
    </row>
    <row r="7" spans="2:12" x14ac:dyDescent="0.25">
      <c r="B7" s="5" t="s">
        <v>221</v>
      </c>
      <c r="C7" s="108"/>
      <c r="D7" s="108">
        <f>D2*D6</f>
        <v>25.925000000000004</v>
      </c>
      <c r="E7" s="108">
        <f t="shared" ref="E7:F7" si="2">E2*E6</f>
        <v>31.225000000000001</v>
      </c>
      <c r="F7" s="108">
        <f t="shared" si="2"/>
        <v>46.249999999999993</v>
      </c>
      <c r="G7" s="108">
        <f>F7*1.1</f>
        <v>50.874999999999993</v>
      </c>
      <c r="H7" s="108">
        <f>G7*1.1</f>
        <v>55.962499999999999</v>
      </c>
    </row>
    <row r="8" spans="2:12" x14ac:dyDescent="0.25">
      <c r="C8" s="2"/>
      <c r="D8" s="2"/>
      <c r="E8" s="2"/>
      <c r="F8" s="2"/>
      <c r="G8" s="2"/>
      <c r="H8" s="2"/>
    </row>
    <row r="9" spans="2:12" x14ac:dyDescent="0.25">
      <c r="B9" t="s">
        <v>222</v>
      </c>
      <c r="C9" s="2">
        <v>262</v>
      </c>
      <c r="D9" s="2">
        <v>328</v>
      </c>
      <c r="E9" s="2">
        <v>368</v>
      </c>
      <c r="F9" s="2">
        <v>426</v>
      </c>
      <c r="G9" s="2">
        <v>476</v>
      </c>
      <c r="H9" s="2">
        <v>527</v>
      </c>
    </row>
    <row r="10" spans="2:12" x14ac:dyDescent="0.25">
      <c r="B10" t="s">
        <v>217</v>
      </c>
      <c r="C10" s="2">
        <v>24</v>
      </c>
      <c r="E10" s="2"/>
      <c r="F10" s="2"/>
      <c r="G10" s="2"/>
      <c r="H10" s="2"/>
    </row>
    <row r="11" spans="2:12" x14ac:dyDescent="0.25">
      <c r="B11" t="s">
        <v>218</v>
      </c>
      <c r="C11" s="76">
        <f>C10/C9</f>
        <v>9.1603053435114504E-2</v>
      </c>
      <c r="D11" s="76">
        <v>9.1603053435114504E-2</v>
      </c>
      <c r="E11" s="76">
        <v>9.1603053435114504E-2</v>
      </c>
      <c r="F11" s="76">
        <v>9.1603053435114504E-2</v>
      </c>
      <c r="G11" s="76">
        <v>9.1603053435114504E-2</v>
      </c>
      <c r="H11" s="76">
        <v>9.1603053435114504E-2</v>
      </c>
    </row>
    <row r="12" spans="2:12" x14ac:dyDescent="0.25">
      <c r="B12" t="s">
        <v>223</v>
      </c>
      <c r="C12" s="2"/>
      <c r="D12" s="28">
        <f>D9*D11</f>
        <v>30.045801526717558</v>
      </c>
      <c r="E12" s="28">
        <f t="shared" ref="E12:H12" si="3">E9*E11</f>
        <v>33.709923664122137</v>
      </c>
      <c r="F12" s="28">
        <f t="shared" si="3"/>
        <v>39.022900763358777</v>
      </c>
      <c r="G12" s="28">
        <f t="shared" si="3"/>
        <v>43.603053435114504</v>
      </c>
      <c r="H12" s="28">
        <f t="shared" si="3"/>
        <v>48.274809160305345</v>
      </c>
    </row>
    <row r="13" spans="2:12" x14ac:dyDescent="0.25">
      <c r="B13" t="s">
        <v>224</v>
      </c>
      <c r="C13" s="2"/>
      <c r="D13" s="107">
        <v>-2.5000000000000001E-2</v>
      </c>
      <c r="E13" s="107">
        <v>-2.5000000000000001E-2</v>
      </c>
      <c r="F13" s="107">
        <v>-2.5000000000000001E-2</v>
      </c>
      <c r="G13" s="107">
        <v>-2.5000000000000001E-2</v>
      </c>
      <c r="H13" s="107">
        <v>-2.5000000000000001E-2</v>
      </c>
    </row>
    <row r="14" spans="2:12" x14ac:dyDescent="0.25">
      <c r="B14" t="s">
        <v>220</v>
      </c>
      <c r="C14" s="2"/>
      <c r="D14" s="76">
        <f>D11+D13</f>
        <v>6.6603053435114495E-2</v>
      </c>
      <c r="E14" s="76">
        <f t="shared" ref="E14:H14" si="4">E11+E13</f>
        <v>6.6603053435114495E-2</v>
      </c>
      <c r="F14" s="76">
        <f t="shared" si="4"/>
        <v>6.6603053435114495E-2</v>
      </c>
      <c r="G14" s="76">
        <f t="shared" si="4"/>
        <v>6.6603053435114495E-2</v>
      </c>
      <c r="H14" s="76">
        <f t="shared" si="4"/>
        <v>6.6603053435114495E-2</v>
      </c>
    </row>
    <row r="15" spans="2:12" x14ac:dyDescent="0.25">
      <c r="B15" s="5" t="s">
        <v>225</v>
      </c>
      <c r="C15" s="108"/>
      <c r="D15" s="108">
        <f>D9*D14</f>
        <v>21.845801526717555</v>
      </c>
      <c r="E15" s="108">
        <f t="shared" ref="E15:H15" si="5">E9*E14</f>
        <v>24.509923664122134</v>
      </c>
      <c r="F15" s="108">
        <f t="shared" si="5"/>
        <v>28.372900763358775</v>
      </c>
      <c r="G15" s="108">
        <f t="shared" si="5"/>
        <v>31.703053435114501</v>
      </c>
      <c r="H15" s="108">
        <f t="shared" si="5"/>
        <v>35.099809160305341</v>
      </c>
    </row>
    <row r="16" spans="2:12" x14ac:dyDescent="0.25">
      <c r="D16" s="106" t="s">
        <v>211</v>
      </c>
      <c r="E16" s="106" t="s">
        <v>212</v>
      </c>
      <c r="F16" s="106" t="s">
        <v>213</v>
      </c>
      <c r="G16" s="106" t="s">
        <v>214</v>
      </c>
      <c r="H16" s="106" t="s">
        <v>215</v>
      </c>
      <c r="I16" s="106" t="s">
        <v>226</v>
      </c>
      <c r="J16" s="106" t="s">
        <v>227</v>
      </c>
      <c r="K16" s="106" t="s">
        <v>228</v>
      </c>
      <c r="L16" s="106" t="s">
        <v>229</v>
      </c>
    </row>
    <row r="17" spans="2:10" x14ac:dyDescent="0.25">
      <c r="B17" t="s">
        <v>230</v>
      </c>
      <c r="D17" s="28">
        <f>D7-D15</f>
        <v>4.0791984732824496</v>
      </c>
      <c r="E17" s="28">
        <f t="shared" ref="E17:H17" si="6">E7-E15</f>
        <v>6.7150763358778676</v>
      </c>
      <c r="F17" s="28">
        <f t="shared" si="6"/>
        <v>17.877099236641218</v>
      </c>
      <c r="G17" s="28">
        <f t="shared" si="6"/>
        <v>19.171946564885491</v>
      </c>
      <c r="H17" s="28">
        <f t="shared" si="6"/>
        <v>20.862690839694658</v>
      </c>
    </row>
    <row r="18" spans="2:10" x14ac:dyDescent="0.25">
      <c r="B18" t="s">
        <v>43</v>
      </c>
      <c r="D18" s="4">
        <f>D17*-28%</f>
        <v>-1.1421755725190861</v>
      </c>
      <c r="E18" s="4">
        <f t="shared" ref="E18:H18" si="7">E17*-28%</f>
        <v>-1.8802213740458031</v>
      </c>
      <c r="F18" s="4">
        <f t="shared" si="7"/>
        <v>-5.0055877862595413</v>
      </c>
      <c r="G18" s="4">
        <f t="shared" si="7"/>
        <v>-5.3681450381679383</v>
      </c>
      <c r="H18" s="4">
        <f t="shared" si="7"/>
        <v>-5.8415534351145046</v>
      </c>
    </row>
    <row r="19" spans="2:10" x14ac:dyDescent="0.25">
      <c r="B19" t="s">
        <v>231</v>
      </c>
      <c r="D19" s="4">
        <f>D17+D18</f>
        <v>2.9370229007633633</v>
      </c>
      <c r="E19" s="4">
        <f t="shared" ref="E19:H19" si="8">E17+E18</f>
        <v>4.8348549618320646</v>
      </c>
      <c r="F19" s="4">
        <f t="shared" si="8"/>
        <v>12.871511450381677</v>
      </c>
      <c r="G19" s="4">
        <f t="shared" si="8"/>
        <v>13.803801526717553</v>
      </c>
      <c r="H19" s="4">
        <f t="shared" si="8"/>
        <v>15.021137404580152</v>
      </c>
    </row>
    <row r="20" spans="2:10" x14ac:dyDescent="0.25">
      <c r="B20" t="s">
        <v>232</v>
      </c>
      <c r="D20">
        <v>10</v>
      </c>
      <c r="E20">
        <v>20</v>
      </c>
      <c r="F20">
        <v>30</v>
      </c>
      <c r="G20">
        <v>20</v>
      </c>
      <c r="H20">
        <v>10</v>
      </c>
    </row>
    <row r="21" spans="2:10" x14ac:dyDescent="0.25">
      <c r="B21" t="s">
        <v>233</v>
      </c>
      <c r="C21" s="2">
        <v>-30</v>
      </c>
      <c r="D21" s="2">
        <v>-30</v>
      </c>
      <c r="E21" s="2">
        <v>-30</v>
      </c>
      <c r="F21" s="2"/>
      <c r="G21" s="2"/>
      <c r="H21" s="2"/>
      <c r="J21" t="s">
        <v>234</v>
      </c>
    </row>
    <row r="22" spans="2:10" x14ac:dyDescent="0.25">
      <c r="B22" t="s">
        <v>235</v>
      </c>
      <c r="D22" s="2">
        <v>-8</v>
      </c>
      <c r="E22" s="2">
        <v>-8</v>
      </c>
      <c r="F22" s="2">
        <v>-8</v>
      </c>
      <c r="G22" s="2"/>
      <c r="H22" s="2"/>
    </row>
    <row r="23" spans="2:10" x14ac:dyDescent="0.25">
      <c r="B23" t="s">
        <v>236</v>
      </c>
      <c r="C23" s="109">
        <f>SUM(C19:C22)</f>
        <v>-30</v>
      </c>
      <c r="D23" s="109">
        <f t="shared" ref="D23:H23" si="9">SUM(D19:D22)</f>
        <v>-25.062977099236637</v>
      </c>
      <c r="E23" s="109">
        <f t="shared" si="9"/>
        <v>-13.165145038167935</v>
      </c>
      <c r="F23" s="109">
        <f t="shared" si="9"/>
        <v>34.871511450381675</v>
      </c>
      <c r="G23" s="109">
        <f t="shared" si="9"/>
        <v>33.80380152671755</v>
      </c>
      <c r="H23" s="109">
        <f t="shared" si="9"/>
        <v>25.021137404580152</v>
      </c>
      <c r="J23" s="45" t="s">
        <v>237</v>
      </c>
    </row>
    <row r="24" spans="2:10" x14ac:dyDescent="0.25">
      <c r="C24" s="111"/>
      <c r="D24" s="111"/>
      <c r="E24" s="111"/>
      <c r="F24" s="111"/>
      <c r="G24" s="111"/>
      <c r="H24" s="111">
        <v>108.64</v>
      </c>
      <c r="J24" t="s">
        <v>238</v>
      </c>
    </row>
    <row r="25" spans="2:10" x14ac:dyDescent="0.25">
      <c r="C25" s="2">
        <f>C23+C24</f>
        <v>-30</v>
      </c>
      <c r="D25" s="2">
        <f t="shared" ref="D25:H25" si="10">D23+D24</f>
        <v>-25.062977099236637</v>
      </c>
      <c r="E25" s="2">
        <f t="shared" si="10"/>
        <v>-13.165145038167935</v>
      </c>
      <c r="F25" s="2">
        <f t="shared" si="10"/>
        <v>34.871511450381675</v>
      </c>
      <c r="G25" s="2">
        <f t="shared" si="10"/>
        <v>33.80380152671755</v>
      </c>
      <c r="H25" s="2">
        <f t="shared" si="10"/>
        <v>133.66113740458016</v>
      </c>
      <c r="J25" s="110" t="s">
        <v>239</v>
      </c>
    </row>
    <row r="26" spans="2:10" x14ac:dyDescent="0.25">
      <c r="C26" s="2"/>
      <c r="D26" s="2"/>
      <c r="E26" s="2"/>
      <c r="F26" s="2"/>
      <c r="G26" s="2"/>
      <c r="H26" s="2"/>
      <c r="J26" s="66" t="s">
        <v>29</v>
      </c>
    </row>
    <row r="27" spans="2:10" x14ac:dyDescent="0.25">
      <c r="C27" s="2"/>
      <c r="D27" s="2"/>
      <c r="E27" s="2"/>
      <c r="F27" s="2"/>
      <c r="G27" s="2"/>
      <c r="H27" s="2"/>
      <c r="J27">
        <f>15.21/14%</f>
        <v>108.64285714285714</v>
      </c>
    </row>
    <row r="28" spans="2:10" x14ac:dyDescent="0.25">
      <c r="B28" t="s">
        <v>240</v>
      </c>
      <c r="C28" s="2" t="s">
        <v>241</v>
      </c>
      <c r="D28" s="2">
        <v>50</v>
      </c>
      <c r="E28" s="42">
        <v>0.4</v>
      </c>
      <c r="F28" s="2">
        <f>D28*E28</f>
        <v>20</v>
      </c>
      <c r="G28" s="2"/>
      <c r="H28" s="2"/>
    </row>
    <row r="29" spans="2:10" x14ac:dyDescent="0.25">
      <c r="B29" t="s">
        <v>242</v>
      </c>
      <c r="C29" s="2" t="s">
        <v>243</v>
      </c>
      <c r="D29" s="2">
        <v>25</v>
      </c>
      <c r="E29" s="42">
        <v>0.2</v>
      </c>
      <c r="F29" s="2">
        <f t="shared" ref="F29:F30" si="11">D29*E29</f>
        <v>5</v>
      </c>
      <c r="G29" s="2"/>
      <c r="H29" s="2"/>
    </row>
    <row r="30" spans="2:10" x14ac:dyDescent="0.25">
      <c r="B30" t="s">
        <v>244</v>
      </c>
      <c r="C30" s="2" t="s">
        <v>245</v>
      </c>
      <c r="D30" s="2">
        <v>10</v>
      </c>
      <c r="E30" s="42">
        <v>0.4</v>
      </c>
      <c r="F30" s="2">
        <f t="shared" si="11"/>
        <v>4</v>
      </c>
      <c r="G30" s="2"/>
      <c r="H30" s="2"/>
    </row>
    <row r="31" spans="2:10" x14ac:dyDescent="0.25">
      <c r="C31" s="2"/>
      <c r="D31" s="2"/>
      <c r="E31" s="2"/>
      <c r="F31" s="2"/>
      <c r="G31" s="2"/>
      <c r="H31" s="2"/>
    </row>
  </sheetData>
  <phoneticPr fontId="1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5B1516A83BC84181E9210959668631" ma:contentTypeVersion="5" ma:contentTypeDescription="Create a new document." ma:contentTypeScope="" ma:versionID="84892e37740f08e335cbf56b3a23bc82">
  <xsd:schema xmlns:xsd="http://www.w3.org/2001/XMLSchema" xmlns:xs="http://www.w3.org/2001/XMLSchema" xmlns:p="http://schemas.microsoft.com/office/2006/metadata/properties" xmlns:ns2="27ea2a98-793b-4b5c-b9e2-ff37ed8a7db3" targetNamespace="http://schemas.microsoft.com/office/2006/metadata/properties" ma:root="true" ma:fieldsID="f736343473f61aa76a3d1c15355154d3" ns2:_="">
    <xsd:import namespace="27ea2a98-793b-4b5c-b9e2-ff37ed8a7d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a2a98-793b-4b5c-b9e2-ff37ed8a7d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410BA0-BD4F-4F6A-B124-BA0979912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ea2a98-793b-4b5c-b9e2-ff37ed8a7d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5E3D77-6C55-43ED-8C86-448CD7DE2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WACC</vt:lpstr>
      <vt:lpstr>Sheet3</vt:lpstr>
      <vt:lpstr>WC</vt:lpstr>
      <vt:lpstr>Loans</vt:lpstr>
      <vt:lpstr>net asset</vt:lpstr>
      <vt:lpstr>Q2</vt:lpstr>
      <vt:lpstr>Sheet4</vt:lpstr>
      <vt:lpstr>Sheet5</vt:lpstr>
      <vt:lpstr>Sheet6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Samira Anthony</dc:creator>
  <cp:keywords/>
  <dc:description/>
  <cp:lastModifiedBy>System Division</cp:lastModifiedBy>
  <cp:revision/>
  <dcterms:created xsi:type="dcterms:W3CDTF">2022-06-17T14:47:11Z</dcterms:created>
  <dcterms:modified xsi:type="dcterms:W3CDTF">2022-07-12T04:29:17Z</dcterms:modified>
  <cp:category/>
  <cp:contentStatus/>
</cp:coreProperties>
</file>