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tabRatio="866" activeTab="13"/>
  </bookViews>
  <sheets>
    <sheet name="Intro" sheetId="20" r:id="rId1"/>
    <sheet name="E1" sheetId="1" r:id="rId2"/>
    <sheet name="E2" sheetId="2" r:id="rId3"/>
    <sheet name="E3" sheetId="3" r:id="rId4"/>
    <sheet name="E4" sheetId="4" r:id="rId5"/>
    <sheet name="E5" sheetId="21" r:id="rId6"/>
    <sheet name="E7" sheetId="23" r:id="rId7"/>
    <sheet name="E8" sheetId="24" r:id="rId8"/>
    <sheet name="Q1" sheetId="22" r:id="rId9"/>
    <sheet name="Q2" sheetId="25" r:id="rId10"/>
    <sheet name="Q3" sheetId="26" r:id="rId11"/>
    <sheet name="Q4" sheetId="28" r:id="rId12"/>
    <sheet name="Q5" sheetId="27" r:id="rId13"/>
    <sheet name="Q8" sheetId="29" r:id="rId14"/>
    <sheet name="2020 Jul Q7" sheetId="30" r:id="rId15"/>
    <sheet name="Sheet1" sheetId="31" r:id="rId16"/>
  </sheets>
  <calcPr calcId="181029"/>
</workbook>
</file>

<file path=xl/calcChain.xml><?xml version="1.0" encoding="utf-8"?>
<calcChain xmlns="http://schemas.openxmlformats.org/spreadsheetml/2006/main">
  <c r="M43" i="27" l="1"/>
  <c r="N43" i="27"/>
  <c r="O43" i="27"/>
  <c r="M44" i="27"/>
  <c r="N44" i="27"/>
  <c r="O44" i="27"/>
  <c r="M45" i="27"/>
  <c r="N45" i="27"/>
  <c r="O45" i="27"/>
  <c r="M46" i="27"/>
  <c r="O46" i="27" s="1"/>
  <c r="N46" i="27"/>
  <c r="M47" i="27"/>
  <c r="N47" i="27"/>
  <c r="O47" i="27" s="1"/>
  <c r="M48" i="27"/>
  <c r="N48" i="27"/>
  <c r="O48" i="27"/>
  <c r="M49" i="27"/>
  <c r="O49" i="27" s="1"/>
  <c r="N49" i="27"/>
  <c r="M50" i="27"/>
  <c r="N50" i="27"/>
  <c r="O50" i="27"/>
  <c r="M51" i="27"/>
  <c r="N51" i="27"/>
  <c r="O51" i="27"/>
  <c r="M52" i="27"/>
  <c r="N52" i="27"/>
  <c r="O52" i="27"/>
  <c r="M53" i="27"/>
  <c r="N53" i="27"/>
  <c r="O53" i="27"/>
  <c r="M54" i="27"/>
  <c r="O54" i="27" s="1"/>
  <c r="N54" i="27"/>
  <c r="M55" i="27"/>
  <c r="N55" i="27"/>
  <c r="O55" i="27" s="1"/>
  <c r="M56" i="27"/>
  <c r="N56" i="27"/>
  <c r="O56" i="27"/>
  <c r="M57" i="27"/>
  <c r="O57" i="27" s="1"/>
  <c r="N57" i="27"/>
  <c r="M58" i="27"/>
  <c r="N58" i="27"/>
  <c r="O58" i="27"/>
  <c r="M59" i="27"/>
  <c r="N59" i="27"/>
  <c r="O59" i="27"/>
  <c r="M60" i="27"/>
  <c r="N60" i="27"/>
  <c r="O60" i="27"/>
  <c r="M61" i="27"/>
  <c r="N61" i="27"/>
  <c r="O61" i="27"/>
  <c r="M62" i="27"/>
  <c r="O62" i="27" s="1"/>
  <c r="N62" i="27"/>
  <c r="M63" i="27"/>
  <c r="N63" i="27"/>
  <c r="O63" i="27" s="1"/>
  <c r="M64" i="27"/>
  <c r="N64" i="27"/>
  <c r="O64" i="27"/>
  <c r="M20" i="27"/>
  <c r="O20" i="27" s="1"/>
  <c r="N20" i="27"/>
  <c r="M21" i="27"/>
  <c r="N21" i="27"/>
  <c r="O21" i="27"/>
  <c r="M22" i="27"/>
  <c r="N22" i="27"/>
  <c r="O22" i="27"/>
  <c r="M23" i="27"/>
  <c r="O23" i="27" s="1"/>
  <c r="N23" i="27"/>
  <c r="M24" i="27"/>
  <c r="O24" i="27" s="1"/>
  <c r="N24" i="27"/>
  <c r="M25" i="27"/>
  <c r="N25" i="27"/>
  <c r="O25" i="27" s="1"/>
  <c r="M26" i="27"/>
  <c r="O26" i="27" s="1"/>
  <c r="N26" i="27"/>
  <c r="M27" i="27"/>
  <c r="O27" i="27" s="1"/>
  <c r="N27" i="27"/>
  <c r="M28" i="27"/>
  <c r="O28" i="27" s="1"/>
  <c r="N28" i="27"/>
  <c r="M29" i="27"/>
  <c r="N29" i="27"/>
  <c r="O29" i="27"/>
  <c r="M30" i="27"/>
  <c r="N30" i="27"/>
  <c r="O30" i="27"/>
  <c r="M31" i="27"/>
  <c r="O31" i="27" s="1"/>
  <c r="N31" i="27"/>
  <c r="M32" i="27"/>
  <c r="O32" i="27" s="1"/>
  <c r="N32" i="27"/>
  <c r="M33" i="27"/>
  <c r="N33" i="27"/>
  <c r="O33" i="27"/>
  <c r="M34" i="27"/>
  <c r="O34" i="27" s="1"/>
  <c r="N34" i="27"/>
  <c r="M35" i="27"/>
  <c r="N35" i="27"/>
  <c r="O35" i="27"/>
  <c r="M36" i="27"/>
  <c r="O36" i="27" s="1"/>
  <c r="N36" i="27"/>
  <c r="M37" i="27"/>
  <c r="N37" i="27"/>
  <c r="O37" i="27"/>
  <c r="M38" i="27"/>
  <c r="N38" i="27"/>
  <c r="O38" i="27"/>
  <c r="M39" i="27"/>
  <c r="O39" i="27" s="1"/>
  <c r="N39" i="27"/>
  <c r="M40" i="27"/>
  <c r="O40" i="27" s="1"/>
  <c r="N40" i="27"/>
  <c r="M41" i="27"/>
  <c r="N41" i="27"/>
  <c r="O41" i="27"/>
  <c r="M42" i="27"/>
  <c r="O42" i="27" s="1"/>
  <c r="N42" i="27"/>
  <c r="O5" i="27"/>
  <c r="O6" i="27"/>
  <c r="O7" i="27"/>
  <c r="O8" i="27"/>
  <c r="O9" i="27"/>
  <c r="O10" i="27"/>
  <c r="O11" i="27"/>
  <c r="O12" i="27"/>
  <c r="O13" i="27"/>
  <c r="O14" i="27"/>
  <c r="O15" i="27"/>
  <c r="O16" i="27"/>
  <c r="O17" i="27"/>
  <c r="O18" i="27"/>
  <c r="O19" i="27"/>
  <c r="O4" i="27"/>
  <c r="N5" i="27"/>
  <c r="N6" i="27"/>
  <c r="N7" i="27"/>
  <c r="N8" i="27"/>
  <c r="N9" i="27"/>
  <c r="N10" i="27"/>
  <c r="N11" i="27"/>
  <c r="N12" i="27"/>
  <c r="N13" i="27"/>
  <c r="N14" i="27"/>
  <c r="N15" i="27"/>
  <c r="N16" i="27"/>
  <c r="N17" i="27"/>
  <c r="N18" i="27"/>
  <c r="N19" i="27"/>
  <c r="N4" i="27"/>
  <c r="B42" i="27"/>
  <c r="C41" i="27"/>
  <c r="C37" i="27"/>
  <c r="F40" i="27"/>
  <c r="F38" i="27"/>
  <c r="M5" i="27"/>
  <c r="M6" i="27"/>
  <c r="M7" i="27"/>
  <c r="M8" i="27"/>
  <c r="M9" i="27"/>
  <c r="M10" i="27"/>
  <c r="M11" i="27"/>
  <c r="M12" i="27"/>
  <c r="M13" i="27"/>
  <c r="M14" i="27"/>
  <c r="M15" i="27"/>
  <c r="M16" i="27"/>
  <c r="M17" i="27"/>
  <c r="M18" i="27"/>
  <c r="M19" i="27"/>
  <c r="M4" i="27"/>
  <c r="C18" i="27"/>
  <c r="B13" i="27"/>
  <c r="M9" i="30"/>
  <c r="M10" i="30"/>
  <c r="M11" i="30"/>
  <c r="M12" i="30"/>
  <c r="M13" i="30"/>
  <c r="M14" i="30"/>
  <c r="M15" i="30"/>
  <c r="M16" i="30"/>
  <c r="M17" i="30"/>
  <c r="M18" i="30"/>
  <c r="M19" i="30"/>
  <c r="M20" i="30"/>
  <c r="M21" i="30"/>
  <c r="M22" i="30"/>
  <c r="M23" i="30"/>
  <c r="M24" i="30"/>
  <c r="M25" i="30"/>
  <c r="M26" i="30"/>
  <c r="M27" i="30"/>
  <c r="M28" i="30"/>
  <c r="M29" i="30"/>
  <c r="M30" i="30"/>
  <c r="M31" i="30"/>
  <c r="M32" i="30"/>
  <c r="M33" i="30"/>
  <c r="M34" i="30"/>
  <c r="M35" i="30"/>
  <c r="M36" i="30"/>
  <c r="M37" i="30"/>
  <c r="M38" i="30"/>
  <c r="M39" i="30"/>
  <c r="M40" i="30"/>
  <c r="M41" i="30"/>
  <c r="M42" i="30"/>
  <c r="M43" i="30"/>
  <c r="M44" i="30"/>
  <c r="M45" i="30"/>
  <c r="M46" i="30"/>
  <c r="M47" i="30"/>
  <c r="M48" i="30"/>
  <c r="M49" i="30"/>
  <c r="M50" i="30"/>
  <c r="M51" i="30"/>
  <c r="M52" i="30"/>
  <c r="M53" i="30"/>
  <c r="M54" i="30"/>
  <c r="M55" i="30"/>
  <c r="M56" i="30"/>
  <c r="M57" i="30"/>
  <c r="M58" i="30"/>
  <c r="M59" i="30"/>
  <c r="M60" i="30"/>
  <c r="M61" i="30"/>
  <c r="M62" i="30"/>
  <c r="M63" i="30"/>
  <c r="M64" i="30"/>
  <c r="M65" i="30"/>
  <c r="M66" i="30"/>
  <c r="M67" i="30"/>
  <c r="M68" i="30"/>
  <c r="M69" i="30"/>
  <c r="M70" i="30"/>
  <c r="M71" i="30"/>
  <c r="M72" i="30"/>
  <c r="M73" i="30"/>
  <c r="M74" i="30"/>
  <c r="M75" i="30"/>
  <c r="M76" i="30"/>
  <c r="M77" i="30"/>
  <c r="M78" i="30"/>
  <c r="M79" i="30"/>
  <c r="M80" i="30"/>
  <c r="M81" i="30"/>
  <c r="M82" i="30"/>
  <c r="M83" i="30"/>
  <c r="M84" i="30"/>
  <c r="M85" i="30"/>
  <c r="M86" i="30"/>
  <c r="M87" i="30"/>
  <c r="M88" i="30"/>
  <c r="M89" i="30"/>
  <c r="M90" i="30"/>
  <c r="M91" i="30"/>
  <c r="M92" i="30"/>
  <c r="M93" i="30"/>
  <c r="M94" i="30"/>
  <c r="M95" i="30"/>
  <c r="M96" i="30"/>
  <c r="M97" i="30"/>
  <c r="M98" i="30"/>
  <c r="M99" i="30"/>
  <c r="M100" i="30"/>
  <c r="M101" i="30"/>
  <c r="M102" i="30"/>
  <c r="M103" i="30"/>
  <c r="M104" i="30"/>
  <c r="M105" i="30"/>
  <c r="M106" i="30"/>
  <c r="M107" i="30"/>
  <c r="M108" i="30"/>
  <c r="M8" i="30"/>
  <c r="L9" i="30"/>
  <c r="L10" i="30"/>
  <c r="L11" i="30"/>
  <c r="L12" i="30"/>
  <c r="L13" i="30"/>
  <c r="L14" i="30"/>
  <c r="L15" i="30"/>
  <c r="L16" i="30"/>
  <c r="L17" i="30"/>
  <c r="L18" i="30"/>
  <c r="L19" i="30"/>
  <c r="L20" i="30"/>
  <c r="L21" i="30"/>
  <c r="L22" i="30"/>
  <c r="L23" i="30"/>
  <c r="L24" i="30"/>
  <c r="L25" i="30"/>
  <c r="L26" i="30"/>
  <c r="L27" i="30"/>
  <c r="L28" i="30"/>
  <c r="L29" i="30"/>
  <c r="L30" i="30"/>
  <c r="L31" i="30"/>
  <c r="L32" i="30"/>
  <c r="L33" i="30"/>
  <c r="L34" i="30"/>
  <c r="L35" i="30"/>
  <c r="L36" i="30"/>
  <c r="L37" i="30"/>
  <c r="L38" i="30"/>
  <c r="L39" i="30"/>
  <c r="L40" i="30"/>
  <c r="L41" i="30"/>
  <c r="L42" i="30"/>
  <c r="L43" i="30"/>
  <c r="L44" i="30"/>
  <c r="L45" i="30"/>
  <c r="L46" i="30"/>
  <c r="L47" i="30"/>
  <c r="L48" i="30"/>
  <c r="L49" i="30"/>
  <c r="L50" i="30"/>
  <c r="L51" i="30"/>
  <c r="L52" i="30"/>
  <c r="L53" i="30"/>
  <c r="L54" i="30"/>
  <c r="L55" i="30"/>
  <c r="L56" i="30"/>
  <c r="L57" i="30"/>
  <c r="L58" i="30"/>
  <c r="L59" i="30"/>
  <c r="L60" i="30"/>
  <c r="L61" i="30"/>
  <c r="L62" i="30"/>
  <c r="L63" i="30"/>
  <c r="L64" i="30"/>
  <c r="L65" i="30"/>
  <c r="L66" i="30"/>
  <c r="L67" i="30"/>
  <c r="L68" i="30"/>
  <c r="L69" i="30"/>
  <c r="L70" i="30"/>
  <c r="L71" i="30"/>
  <c r="L72" i="30"/>
  <c r="L73" i="30"/>
  <c r="L74" i="30"/>
  <c r="L75" i="30"/>
  <c r="L76" i="30"/>
  <c r="L77" i="30"/>
  <c r="L78" i="30"/>
  <c r="L79" i="30"/>
  <c r="L80" i="30"/>
  <c r="L81" i="30"/>
  <c r="L82" i="30"/>
  <c r="L83" i="30"/>
  <c r="L84" i="30"/>
  <c r="L85" i="30"/>
  <c r="L86" i="30"/>
  <c r="L87" i="30"/>
  <c r="L88" i="30"/>
  <c r="L89" i="30"/>
  <c r="L90" i="30"/>
  <c r="L91" i="30"/>
  <c r="L92" i="30"/>
  <c r="L93" i="30"/>
  <c r="L94" i="30"/>
  <c r="L95" i="30"/>
  <c r="L96" i="30"/>
  <c r="L97" i="30"/>
  <c r="L98" i="30"/>
  <c r="L99" i="30"/>
  <c r="L100" i="30"/>
  <c r="L101" i="30"/>
  <c r="L102" i="30"/>
  <c r="L103" i="30"/>
  <c r="L104" i="30"/>
  <c r="L105" i="30"/>
  <c r="L106" i="30"/>
  <c r="L107" i="30"/>
  <c r="L108" i="30"/>
  <c r="L8" i="30"/>
  <c r="K9" i="30"/>
  <c r="K10" i="30"/>
  <c r="K11" i="30"/>
  <c r="K12" i="30"/>
  <c r="K13" i="30"/>
  <c r="K14" i="30"/>
  <c r="K15" i="30"/>
  <c r="K16" i="30"/>
  <c r="K17" i="30"/>
  <c r="K18" i="30"/>
  <c r="K19" i="30"/>
  <c r="K20" i="30"/>
  <c r="K21" i="30"/>
  <c r="K22" i="30"/>
  <c r="K23" i="30"/>
  <c r="K24" i="30"/>
  <c r="K25" i="30"/>
  <c r="K26" i="30"/>
  <c r="K27" i="30"/>
  <c r="K28" i="30"/>
  <c r="K29" i="30"/>
  <c r="K30" i="30"/>
  <c r="K31" i="30"/>
  <c r="K32" i="30"/>
  <c r="K33" i="30"/>
  <c r="K34" i="30"/>
  <c r="K35" i="30"/>
  <c r="K36" i="30"/>
  <c r="K37" i="30"/>
  <c r="K38" i="30"/>
  <c r="K39" i="30"/>
  <c r="K40" i="30"/>
  <c r="K41" i="30"/>
  <c r="K42" i="30"/>
  <c r="K43" i="30"/>
  <c r="K44" i="30"/>
  <c r="K45" i="30"/>
  <c r="K46" i="30"/>
  <c r="K47" i="30"/>
  <c r="K48" i="30"/>
  <c r="K49" i="30"/>
  <c r="K50" i="30"/>
  <c r="K51" i="30"/>
  <c r="K52" i="30"/>
  <c r="K53" i="30"/>
  <c r="K54" i="30"/>
  <c r="K55" i="30"/>
  <c r="K56" i="30"/>
  <c r="K57" i="30"/>
  <c r="K58" i="30"/>
  <c r="K59" i="30"/>
  <c r="K60" i="30"/>
  <c r="K61" i="30"/>
  <c r="K62" i="30"/>
  <c r="K63" i="30"/>
  <c r="K64" i="30"/>
  <c r="K65" i="30"/>
  <c r="K66" i="30"/>
  <c r="K67" i="30"/>
  <c r="K68" i="30"/>
  <c r="K69" i="30"/>
  <c r="K70" i="30"/>
  <c r="K71" i="30"/>
  <c r="K72" i="30"/>
  <c r="K73" i="30"/>
  <c r="K74" i="30"/>
  <c r="K75" i="30"/>
  <c r="K76" i="30"/>
  <c r="K77" i="30"/>
  <c r="K78" i="30"/>
  <c r="K79" i="30"/>
  <c r="K80" i="30"/>
  <c r="K81" i="30"/>
  <c r="K82" i="30"/>
  <c r="K83" i="30"/>
  <c r="K84" i="30"/>
  <c r="K85" i="30"/>
  <c r="K86" i="30"/>
  <c r="K87" i="30"/>
  <c r="K88" i="30"/>
  <c r="K89" i="30"/>
  <c r="K90" i="30"/>
  <c r="K91" i="30"/>
  <c r="K92" i="30"/>
  <c r="K93" i="30"/>
  <c r="K94" i="30"/>
  <c r="K95" i="30"/>
  <c r="K96" i="30"/>
  <c r="K97" i="30"/>
  <c r="K98" i="30"/>
  <c r="K99" i="30"/>
  <c r="K100" i="30"/>
  <c r="K101" i="30"/>
  <c r="K102" i="30"/>
  <c r="K103" i="30"/>
  <c r="K104" i="30"/>
  <c r="K105" i="30"/>
  <c r="K106" i="30"/>
  <c r="K107" i="30"/>
  <c r="K108" i="30"/>
  <c r="K8" i="30"/>
  <c r="B43" i="30"/>
  <c r="C42" i="30"/>
  <c r="C38" i="30"/>
  <c r="F39" i="30"/>
  <c r="B18" i="30"/>
  <c r="B13" i="30"/>
  <c r="F47" i="29"/>
  <c r="E45" i="29"/>
  <c r="F45" i="29" s="1"/>
  <c r="F44" i="29"/>
  <c r="E44" i="29"/>
  <c r="C44" i="29"/>
  <c r="E43" i="29"/>
  <c r="E46" i="29" s="1"/>
  <c r="E48" i="29" s="1"/>
  <c r="C43" i="29"/>
  <c r="C46" i="29" s="1"/>
  <c r="C48" i="29" s="1"/>
  <c r="F37" i="29"/>
  <c r="E35" i="29"/>
  <c r="F35" i="29" s="1"/>
  <c r="E34" i="29"/>
  <c r="E36" i="29" s="1"/>
  <c r="E38" i="29" s="1"/>
  <c r="C34" i="29"/>
  <c r="C36" i="29" s="1"/>
  <c r="C38" i="29" s="1"/>
  <c r="F33" i="29"/>
  <c r="C33" i="29"/>
  <c r="C25" i="29"/>
  <c r="C26" i="29" s="1"/>
  <c r="C28" i="29" s="1"/>
  <c r="C16" i="28"/>
  <c r="C11" i="28"/>
  <c r="H19" i="26"/>
  <c r="G19" i="26"/>
  <c r="E19" i="26"/>
  <c r="F19" i="26"/>
  <c r="H11" i="26"/>
  <c r="G11" i="26"/>
  <c r="E11" i="26"/>
  <c r="F11" i="26"/>
  <c r="H16" i="26"/>
  <c r="H17" i="26"/>
  <c r="H18" i="26"/>
  <c r="H15" i="26"/>
  <c r="G16" i="26"/>
  <c r="G17" i="26"/>
  <c r="G18" i="26"/>
  <c r="G15" i="26"/>
  <c r="F16" i="26"/>
  <c r="F17" i="26"/>
  <c r="F18" i="26"/>
  <c r="F15" i="26"/>
  <c r="B18" i="26"/>
  <c r="B17" i="26"/>
  <c r="B16" i="26"/>
  <c r="E16" i="26"/>
  <c r="E17" i="26"/>
  <c r="E18" i="26"/>
  <c r="E15" i="26"/>
  <c r="D18" i="26"/>
  <c r="D17" i="26"/>
  <c r="D16" i="26"/>
  <c r="D15" i="26"/>
  <c r="H8" i="26"/>
  <c r="H9" i="26"/>
  <c r="H10" i="26"/>
  <c r="H7" i="26"/>
  <c r="G8" i="26"/>
  <c r="G9" i="26"/>
  <c r="G10" i="26"/>
  <c r="G7" i="26"/>
  <c r="F8" i="26"/>
  <c r="F9" i="26"/>
  <c r="F10" i="26"/>
  <c r="F7" i="26"/>
  <c r="B10" i="26"/>
  <c r="B9" i="26"/>
  <c r="B8" i="26"/>
  <c r="E8" i="26"/>
  <c r="E9" i="26"/>
  <c r="E10" i="26"/>
  <c r="E7" i="26"/>
  <c r="D10" i="26"/>
  <c r="D9" i="26"/>
  <c r="D8" i="26"/>
  <c r="D7" i="26"/>
  <c r="F15" i="25"/>
  <c r="F16" i="25" s="1"/>
  <c r="F18" i="25" s="1"/>
  <c r="D15" i="25"/>
  <c r="D16" i="25" s="1"/>
  <c r="D18" i="25" s="1"/>
  <c r="E18" i="25"/>
  <c r="E16" i="25"/>
  <c r="C16" i="25"/>
  <c r="C18" i="25" s="1"/>
  <c r="D11" i="25"/>
  <c r="E11" i="25"/>
  <c r="F11" i="25"/>
  <c r="C11" i="25"/>
  <c r="C9" i="25"/>
  <c r="D9" i="25"/>
  <c r="E9" i="25"/>
  <c r="F9" i="25"/>
  <c r="C7" i="24"/>
  <c r="E6" i="24"/>
  <c r="C6" i="24"/>
  <c r="K7" i="24"/>
  <c r="K6" i="24"/>
  <c r="C5" i="24"/>
  <c r="C15" i="24"/>
  <c r="D14" i="24"/>
  <c r="C14" i="24"/>
  <c r="C12" i="24"/>
  <c r="C14" i="23"/>
  <c r="C15" i="23" s="1"/>
  <c r="C8" i="23"/>
  <c r="C7" i="23"/>
  <c r="J55" i="22"/>
  <c r="J53" i="22"/>
  <c r="J52" i="22"/>
  <c r="J49" i="22"/>
  <c r="J44" i="22"/>
  <c r="J39" i="22"/>
  <c r="J42" i="22" s="1"/>
  <c r="I32" i="22"/>
  <c r="I30" i="22"/>
  <c r="D33" i="22"/>
  <c r="D30" i="22"/>
  <c r="E21" i="22"/>
  <c r="E20" i="22"/>
  <c r="E19" i="22"/>
  <c r="E18" i="22"/>
  <c r="D128" i="21"/>
  <c r="D127" i="21"/>
  <c r="B132" i="21"/>
  <c r="B136" i="21" s="1"/>
  <c r="D126" i="21"/>
  <c r="C126" i="21"/>
  <c r="C125" i="21"/>
  <c r="D125" i="21" s="1"/>
  <c r="C124" i="21"/>
  <c r="D124" i="21" s="1"/>
  <c r="E118" i="21"/>
  <c r="E116" i="21"/>
  <c r="D116" i="21"/>
  <c r="D118" i="21" s="1"/>
  <c r="C116" i="21"/>
  <c r="C118" i="21" s="1"/>
  <c r="D106" i="21"/>
  <c r="D104" i="21"/>
  <c r="D103" i="21"/>
  <c r="D102" i="21"/>
  <c r="D105" i="21" s="1"/>
  <c r="D107" i="21" s="1"/>
  <c r="D109" i="21" s="1"/>
  <c r="M85" i="21"/>
  <c r="L85" i="21"/>
  <c r="M81" i="21"/>
  <c r="M78" i="21"/>
  <c r="M79" i="21"/>
  <c r="M80" i="21"/>
  <c r="M77" i="21"/>
  <c r="F95" i="21"/>
  <c r="B87" i="21"/>
  <c r="E87" i="21"/>
  <c r="D86" i="21"/>
  <c r="E86" i="21"/>
  <c r="B96" i="21"/>
  <c r="B92" i="21"/>
  <c r="C86" i="21"/>
  <c r="K79" i="21"/>
  <c r="O86" i="21"/>
  <c r="M86" i="21"/>
  <c r="C85" i="21"/>
  <c r="D85" i="21" s="1"/>
  <c r="K84" i="21"/>
  <c r="C84" i="21"/>
  <c r="D84" i="21" s="1"/>
  <c r="E85" i="21" s="1"/>
  <c r="K78" i="21"/>
  <c r="D78" i="21"/>
  <c r="K77" i="21"/>
  <c r="K83" i="21" s="1"/>
  <c r="E76" i="21"/>
  <c r="L77" i="21" s="1"/>
  <c r="L83" i="21" s="1"/>
  <c r="D76" i="21"/>
  <c r="L78" i="21" s="1"/>
  <c r="C76" i="21"/>
  <c r="C78" i="21" s="1"/>
  <c r="D66" i="21"/>
  <c r="D64" i="21"/>
  <c r="D63" i="21"/>
  <c r="D62" i="21"/>
  <c r="O46" i="21"/>
  <c r="K45" i="21"/>
  <c r="M46" i="21"/>
  <c r="K39" i="21"/>
  <c r="K38" i="21"/>
  <c r="K44" i="21" s="1"/>
  <c r="B56" i="21"/>
  <c r="F55" i="21"/>
  <c r="D55" i="21"/>
  <c r="B52" i="21"/>
  <c r="B47" i="21"/>
  <c r="K40" i="21" s="1"/>
  <c r="M40" i="21" s="1"/>
  <c r="C47" i="21"/>
  <c r="C46" i="21"/>
  <c r="D46" i="21" s="1"/>
  <c r="C45" i="21"/>
  <c r="D45" i="21" s="1"/>
  <c r="E46" i="21" s="1"/>
  <c r="E47" i="21" s="1"/>
  <c r="E37" i="21"/>
  <c r="L38" i="21" s="1"/>
  <c r="D37" i="21"/>
  <c r="L39" i="21" s="1"/>
  <c r="C37" i="21"/>
  <c r="L40" i="21" s="1"/>
  <c r="D27" i="21"/>
  <c r="D24" i="21"/>
  <c r="D25" i="21"/>
  <c r="D23" i="21"/>
  <c r="D26" i="21" s="1"/>
  <c r="D28" i="21" s="1"/>
  <c r="D30" i="21" s="1"/>
  <c r="I33" i="4"/>
  <c r="G33" i="4"/>
  <c r="G31" i="4"/>
  <c r="D33" i="4"/>
  <c r="D27" i="4"/>
  <c r="G11" i="2"/>
  <c r="G10" i="2"/>
  <c r="B12" i="2"/>
  <c r="B11" i="2"/>
  <c r="M21" i="2"/>
  <c r="M20" i="2"/>
  <c r="M19" i="2"/>
  <c r="I27" i="2"/>
  <c r="G27" i="2"/>
  <c r="D27" i="2"/>
  <c r="G25" i="2"/>
  <c r="D21" i="2"/>
  <c r="I27" i="1"/>
  <c r="I26" i="1"/>
  <c r="I24" i="1"/>
  <c r="I22" i="1"/>
  <c r="I20" i="1"/>
  <c r="G27" i="1"/>
  <c r="G26" i="1"/>
  <c r="G25" i="1"/>
  <c r="G22" i="1"/>
  <c r="D27" i="1"/>
  <c r="D26" i="1"/>
  <c r="D22" i="1"/>
  <c r="F43" i="29" l="1"/>
  <c r="F46" i="29" s="1"/>
  <c r="F48" i="29" s="1"/>
  <c r="F34" i="29"/>
  <c r="F36" i="29" s="1"/>
  <c r="F38" i="29" s="1"/>
  <c r="E127" i="21"/>
  <c r="E125" i="21"/>
  <c r="E126" i="21" s="1"/>
  <c r="M44" i="21"/>
  <c r="L45" i="21"/>
  <c r="M45" i="21" s="1"/>
  <c r="M47" i="21" s="1"/>
  <c r="M39" i="21"/>
  <c r="M38" i="21"/>
  <c r="M41" i="21" s="1"/>
  <c r="L44" i="21"/>
  <c r="D39" i="21"/>
  <c r="D65" i="21"/>
  <c r="D67" i="21" s="1"/>
  <c r="D69" i="21" s="1"/>
  <c r="E78" i="21"/>
  <c r="M83" i="21"/>
  <c r="M87" i="21" s="1"/>
  <c r="C39" i="21"/>
  <c r="E39" i="21"/>
  <c r="L79" i="21"/>
  <c r="L84" i="21"/>
  <c r="M84" i="21" s="1"/>
  <c r="D28" i="4" l="1"/>
  <c r="D32" i="4"/>
  <c r="I30" i="4"/>
  <c r="I32" i="4" s="1"/>
  <c r="G28" i="4"/>
  <c r="I26" i="4"/>
  <c r="I28" i="4" s="1"/>
  <c r="I18" i="4"/>
  <c r="C18" i="4"/>
  <c r="O15" i="3"/>
  <c r="I18" i="3"/>
  <c r="C18" i="3"/>
  <c r="D22" i="2"/>
  <c r="D26" i="2"/>
  <c r="I24" i="2"/>
  <c r="I26" i="2" s="1"/>
  <c r="G22" i="2"/>
  <c r="I20" i="2"/>
  <c r="I22" i="2" s="1"/>
  <c r="G26" i="2" l="1"/>
  <c r="G32" i="4"/>
</calcChain>
</file>

<file path=xl/sharedStrings.xml><?xml version="1.0" encoding="utf-8"?>
<sst xmlns="http://schemas.openxmlformats.org/spreadsheetml/2006/main" count="631" uniqueCount="356">
  <si>
    <t>Open Market</t>
  </si>
  <si>
    <t>Transfer 50%</t>
  </si>
  <si>
    <t>Sell Outside</t>
  </si>
  <si>
    <t>Exercise 01 - Transfer Price is Market Price</t>
  </si>
  <si>
    <t>A</t>
  </si>
  <si>
    <t>B</t>
  </si>
  <si>
    <t>Cost of production</t>
  </si>
  <si>
    <t>Profit</t>
  </si>
  <si>
    <t>Internal transfer Sales</t>
  </si>
  <si>
    <t>Internal transfer Purchase</t>
  </si>
  <si>
    <t>Total</t>
  </si>
  <si>
    <t>As an Organization</t>
  </si>
  <si>
    <t>Supply Division</t>
  </si>
  <si>
    <t>Receiving Division</t>
  </si>
  <si>
    <t>Maximum Price</t>
  </si>
  <si>
    <t>Minimum Price</t>
  </si>
  <si>
    <t>Variable cost</t>
  </si>
  <si>
    <t>Opportunity cost</t>
  </si>
  <si>
    <t>Cost  + 25%</t>
  </si>
  <si>
    <t>Exercise 2 - Transfer price  is Full Cost + Mark-up</t>
  </si>
  <si>
    <t>Production Cost</t>
  </si>
  <si>
    <t>Production cost</t>
  </si>
  <si>
    <t>Unit Cost</t>
  </si>
  <si>
    <t>VC</t>
  </si>
  <si>
    <t>FC</t>
  </si>
  <si>
    <t>Variable Cost + Opportunity Cost</t>
  </si>
  <si>
    <t>Rs.30</t>
  </si>
  <si>
    <t>Rs.15 + Rs.15</t>
  </si>
  <si>
    <t>Purchasing csot from Div A</t>
  </si>
  <si>
    <t>This is VC to B</t>
  </si>
  <si>
    <t>Own VC of Div. B</t>
  </si>
  <si>
    <t>Cost</t>
  </si>
  <si>
    <t>Selling price</t>
  </si>
  <si>
    <t>Sales</t>
  </si>
  <si>
    <t>Contribution</t>
  </si>
  <si>
    <t>X</t>
  </si>
  <si>
    <t>Product</t>
  </si>
  <si>
    <t>Demand</t>
  </si>
  <si>
    <t>Y</t>
  </si>
  <si>
    <t>Z</t>
  </si>
  <si>
    <t>Ranking</t>
  </si>
  <si>
    <t>Supplier</t>
  </si>
  <si>
    <t>Tax Rate</t>
  </si>
  <si>
    <t>Sell</t>
  </si>
  <si>
    <t>Outside</t>
  </si>
  <si>
    <t>Purpose</t>
  </si>
  <si>
    <t>Higher profit</t>
  </si>
  <si>
    <t>Lower Profit</t>
  </si>
  <si>
    <t>Higher sales</t>
  </si>
  <si>
    <t>Higher cost</t>
  </si>
  <si>
    <t xml:space="preserve"> - Cover up the variable cost + Opportunity cost</t>
  </si>
  <si>
    <t>Lowest market price</t>
  </si>
  <si>
    <t>Transfer Pricing - Group of Companies A &amp; B</t>
  </si>
  <si>
    <t>Manufacture Tyres</t>
  </si>
  <si>
    <t>Assemble Cars</t>
  </si>
  <si>
    <t>Purchase tyres</t>
  </si>
  <si>
    <t>Receiver</t>
  </si>
  <si>
    <t>Market price</t>
  </si>
  <si>
    <t>Transfer Price ??</t>
  </si>
  <si>
    <t>Adjusted Market Price</t>
  </si>
  <si>
    <t>Cost + Margin</t>
  </si>
  <si>
    <t>Marginal cost</t>
  </si>
  <si>
    <t>Dual price</t>
  </si>
  <si>
    <t>Contribution foregone on external sales</t>
  </si>
  <si>
    <t>Contribution foregone on alternative manufacturing</t>
  </si>
  <si>
    <t>External sales 50%</t>
  </si>
  <si>
    <t>Internal sales 50%</t>
  </si>
  <si>
    <t>Ttal cost</t>
  </si>
  <si>
    <t>Total sales</t>
  </si>
  <si>
    <t>Internal purchase</t>
  </si>
  <si>
    <t>Consequences</t>
  </si>
  <si>
    <t>A making a good profit at a cost of B (A's fixed cost transfered to B)</t>
  </si>
  <si>
    <t>A's manager is very happy about the performance</t>
  </si>
  <si>
    <t>B also purchasing at market price and therefore there is no any negative impact to B (fair)</t>
  </si>
  <si>
    <t>Group is making the maximum profit</t>
  </si>
  <si>
    <t>External Sales 50%</t>
  </si>
  <si>
    <t>Internal transfer Sales 50%</t>
  </si>
  <si>
    <t>12,000*50%*1.25</t>
  </si>
  <si>
    <t>12000*50%</t>
  </si>
  <si>
    <t>6000*25%</t>
  </si>
  <si>
    <t>Cost 12,000*50%</t>
  </si>
  <si>
    <t>Markup</t>
  </si>
  <si>
    <t>A is supplying to B at a discount</t>
  </si>
  <si>
    <t>A is still covering its total cost and make a decent profit too</t>
  </si>
  <si>
    <t>B is making a higher profit at a cost of A</t>
  </si>
  <si>
    <t>A and B, both managers are ahappy since making reasonable profit</t>
  </si>
  <si>
    <t>Transfer price is reasoble for group as well.</t>
  </si>
  <si>
    <t>12,000/15*50%*Rs.9</t>
  </si>
  <si>
    <t>TP</t>
  </si>
  <si>
    <t>A is making a loss, since A can not cover the production cost with inter-sales (Rs.6,000 worth of goods are being sold at Rs.3,600)</t>
  </si>
  <si>
    <t>A's manager is unhappy due to the lost and no rewards given</t>
  </si>
  <si>
    <t>B is making super profit at cost of A</t>
  </si>
  <si>
    <t>B's manager is happy and rewarded</t>
  </si>
  <si>
    <t>There is no impact on the group profit</t>
  </si>
  <si>
    <t>Exercise 4 - Transfer price  is Marginal Cost</t>
  </si>
  <si>
    <t>Y 300 Units @ 46</t>
  </si>
  <si>
    <t>Purchase Y @ 45</t>
  </si>
  <si>
    <t>SP</t>
  </si>
  <si>
    <t>L/Hrs</t>
  </si>
  <si>
    <t>Exercise 5</t>
  </si>
  <si>
    <t>If maximum labour hours available are 3,800</t>
  </si>
  <si>
    <t>Total L/Hrs</t>
  </si>
  <si>
    <t>Total hrs required for external sales</t>
  </si>
  <si>
    <t>Y Internal</t>
  </si>
  <si>
    <t>Total L/Hrs required</t>
  </si>
  <si>
    <t>Vailable L/Hrs</t>
  </si>
  <si>
    <t>Shortage</t>
  </si>
  <si>
    <t>Since labour is in short, it is required to decide the optimum production and sales plan</t>
  </si>
  <si>
    <t>(-) Variable cost</t>
  </si>
  <si>
    <t>L/Hrs per unit</t>
  </si>
  <si>
    <t>Contribution per L/Hrs</t>
  </si>
  <si>
    <t>So the production plan is;</t>
  </si>
  <si>
    <t>Production</t>
  </si>
  <si>
    <t>Y - External</t>
  </si>
  <si>
    <t>What is the minimum price set to division B under above analysis??</t>
  </si>
  <si>
    <t>Oppoyrtunity cost</t>
  </si>
  <si>
    <t>Drop external sales of X and use them for internal sales of Y, CONTRIBUTION FORGONE</t>
  </si>
  <si>
    <t>400*15</t>
  </si>
  <si>
    <t>We can make 300 units of Y with 1,200 labour hours</t>
  </si>
  <si>
    <t>Y Ex</t>
  </si>
  <si>
    <t>Y In</t>
  </si>
  <si>
    <t>(44-24)</t>
  </si>
  <si>
    <t>If maximum labour hours available are 5,600</t>
  </si>
  <si>
    <t>Available L/Hrs</t>
  </si>
  <si>
    <t>Y - Internal</t>
  </si>
  <si>
    <t>Oppotunity cost</t>
  </si>
  <si>
    <t>We need another 600 L/Hrs to produce balance 150 units of Y</t>
  </si>
  <si>
    <t>600/3 =200</t>
  </si>
  <si>
    <t>200*15=3,000</t>
  </si>
  <si>
    <t>Y in</t>
  </si>
  <si>
    <t>(34-24)</t>
  </si>
  <si>
    <t>If maximum labour hours available are 6,200</t>
  </si>
  <si>
    <t>Minimum transfer price</t>
  </si>
  <si>
    <t>Questin 01</t>
  </si>
  <si>
    <t>External</t>
  </si>
  <si>
    <t>Sell @ Rs.5,000</t>
  </si>
  <si>
    <t>Selling Price</t>
  </si>
  <si>
    <t>VC 75%</t>
  </si>
  <si>
    <t>FC 25%</t>
  </si>
  <si>
    <t>Avaoidable Packing material cost</t>
  </si>
  <si>
    <t>Rs.500</t>
  </si>
  <si>
    <t>January</t>
  </si>
  <si>
    <t>During month of January Moon has got the demand for 100% production</t>
  </si>
  <si>
    <t>Option 1</t>
  </si>
  <si>
    <t>Minimum price is VC + OC - Avoidable Cost</t>
  </si>
  <si>
    <t>Opprtunity cost</t>
  </si>
  <si>
    <t>5,000-3,000</t>
  </si>
  <si>
    <t>(-) Avoidable cost</t>
  </si>
  <si>
    <t>Option 2</t>
  </si>
  <si>
    <t>Market price - Avaidable cost</t>
  </si>
  <si>
    <t>Transfer price</t>
  </si>
  <si>
    <t>February</t>
  </si>
  <si>
    <t>Production 4,000 units and external market is for 1,000 units</t>
  </si>
  <si>
    <t>1,000 units</t>
  </si>
  <si>
    <t>Balance 3,000 units</t>
  </si>
  <si>
    <t>Minimum price is VC</t>
  </si>
  <si>
    <t>March</t>
  </si>
  <si>
    <t>Production 3,000 units and No external market, alternative available</t>
  </si>
  <si>
    <t>Balance 2,000 units</t>
  </si>
  <si>
    <t>No option</t>
  </si>
  <si>
    <t>Alternative</t>
  </si>
  <si>
    <t>2/3</t>
  </si>
  <si>
    <t>2,000,000/2,000</t>
  </si>
  <si>
    <t>Exercise 7 - Residual Income</t>
  </si>
  <si>
    <t>Without new investment</t>
  </si>
  <si>
    <t>(-) Cost of capital</t>
  </si>
  <si>
    <t>500,000*10%</t>
  </si>
  <si>
    <t>RI</t>
  </si>
  <si>
    <t>With new investment</t>
  </si>
  <si>
    <t>520,000*10%</t>
  </si>
  <si>
    <t>Exercise 8</t>
  </si>
  <si>
    <t>EVA</t>
  </si>
  <si>
    <t>=</t>
  </si>
  <si>
    <t>NOPAT</t>
  </si>
  <si>
    <t>-</t>
  </si>
  <si>
    <t>Cost of capital</t>
  </si>
  <si>
    <t>Calculation of NOPAT</t>
  </si>
  <si>
    <t>PBIT</t>
  </si>
  <si>
    <t>Rs.Mn</t>
  </si>
  <si>
    <t>(-) Income tax</t>
  </si>
  <si>
    <t>42*.25%</t>
  </si>
  <si>
    <t>(+) Advertising cost</t>
  </si>
  <si>
    <t>(-) Amotisation of Advertising cost</t>
  </si>
  <si>
    <t>8/4*1</t>
  </si>
  <si>
    <t>NCA</t>
  </si>
  <si>
    <t>NCA - Replacement value</t>
  </si>
  <si>
    <t>Net current assets</t>
  </si>
  <si>
    <t>Advertising cost</t>
  </si>
  <si>
    <t>178*12%</t>
  </si>
  <si>
    <t>Question 2</t>
  </si>
  <si>
    <t>b)</t>
  </si>
  <si>
    <t>Autmobile Center A</t>
  </si>
  <si>
    <t>Autmobile Center B</t>
  </si>
  <si>
    <t>Before Apportinment</t>
  </si>
  <si>
    <t>Current</t>
  </si>
  <si>
    <t>Last</t>
  </si>
  <si>
    <t>Rs.000</t>
  </si>
  <si>
    <t>Profit reported</t>
  </si>
  <si>
    <t>(+) HO Apportioned cost</t>
  </si>
  <si>
    <t>Investment</t>
  </si>
  <si>
    <t>ROCE</t>
  </si>
  <si>
    <t>After Apportinment</t>
  </si>
  <si>
    <t>(-) HO Apportioned cost</t>
  </si>
  <si>
    <t>Question 3</t>
  </si>
  <si>
    <t xml:space="preserve">Year </t>
  </si>
  <si>
    <t>Investment (NBV)</t>
  </si>
  <si>
    <t>Cash flows</t>
  </si>
  <si>
    <t>DepN</t>
  </si>
  <si>
    <t>ROI</t>
  </si>
  <si>
    <t>Cost of Capital @ 16%</t>
  </si>
  <si>
    <t>Option 1 is preferable as it generates 26% ROI and Rs.64Mn RI.</t>
  </si>
  <si>
    <t>B)</t>
  </si>
  <si>
    <t>Manager's preference is for option 2 since it is persnaly benefits for manager.</t>
  </si>
  <si>
    <t>a</t>
  </si>
  <si>
    <t>P</t>
  </si>
  <si>
    <t>P*Q</t>
  </si>
  <si>
    <t>TR</t>
  </si>
  <si>
    <t>30 - 0.000005*1,350,000</t>
  </si>
  <si>
    <t>30 - 6.75</t>
  </si>
  <si>
    <t>Total contribution</t>
  </si>
  <si>
    <t>(-) Fixed cost</t>
  </si>
  <si>
    <t>Question 04</t>
  </si>
  <si>
    <t>a)</t>
  </si>
  <si>
    <t>CA Division</t>
  </si>
  <si>
    <t>For existing 2000 units</t>
  </si>
  <si>
    <t>Reduction in the variable cost</t>
  </si>
  <si>
    <t>25,000-22,500</t>
  </si>
  <si>
    <t>Reduction in the selling price</t>
  </si>
  <si>
    <t>Net impact on contribution</t>
  </si>
  <si>
    <t>Incremental 500 units</t>
  </si>
  <si>
    <t>Contribution per unit</t>
  </si>
  <si>
    <t>50,000,000/2,000</t>
  </si>
  <si>
    <t>Additional contribution</t>
  </si>
  <si>
    <t>Rs.25,000*500Units</t>
  </si>
  <si>
    <t>EE Division</t>
  </si>
  <si>
    <t xml:space="preserve">For existing 2500 units </t>
  </si>
  <si>
    <t>Loss of contribution</t>
  </si>
  <si>
    <t>40,000,000/8,000</t>
  </si>
  <si>
    <t>2,500Units*Rs.5,000</t>
  </si>
  <si>
    <t>No additional contribution on X</t>
  </si>
  <si>
    <t>EL Company</t>
  </si>
  <si>
    <t>Rs.</t>
  </si>
  <si>
    <t>Gain from CA</t>
  </si>
  <si>
    <t>Loss from EE</t>
  </si>
  <si>
    <t>Net result</t>
  </si>
  <si>
    <t xml:space="preserve">                               -   </t>
  </si>
  <si>
    <t>Relevant cost producing X</t>
  </si>
  <si>
    <t>Relevant cost of producing</t>
  </si>
  <si>
    <t>Purchasing outside</t>
  </si>
  <si>
    <t>Question 08 - February 2021</t>
  </si>
  <si>
    <t>Supply the motor</t>
  </si>
  <si>
    <t>Rs.45,000</t>
  </si>
  <si>
    <t>Motor cost Rs.50,000</t>
  </si>
  <si>
    <t>Rs.5Mn</t>
  </si>
  <si>
    <t>Rs.12Mn</t>
  </si>
  <si>
    <t>Total Contribution</t>
  </si>
  <si>
    <t>1,000units * Rs.15,000</t>
  </si>
  <si>
    <t>Present profit</t>
  </si>
  <si>
    <t>LM Division</t>
  </si>
  <si>
    <t>IM Division</t>
  </si>
  <si>
    <t>Company</t>
  </si>
  <si>
    <t>1,000*45,000</t>
  </si>
  <si>
    <t>150,000*1,000</t>
  </si>
  <si>
    <t>Variable cost Motors</t>
  </si>
  <si>
    <t>1,000*30,000</t>
  </si>
  <si>
    <t>Variable cost Rammers</t>
  </si>
  <si>
    <t>135,000-50,000*1,000</t>
  </si>
  <si>
    <t>Fixed cost</t>
  </si>
  <si>
    <t>c)</t>
  </si>
  <si>
    <t>1,200*45,000</t>
  </si>
  <si>
    <t>145,000*1,200</t>
  </si>
  <si>
    <t>1,200*30,000</t>
  </si>
  <si>
    <t>135,000-50,000*1,200</t>
  </si>
  <si>
    <t>2020 - July Q7-B</t>
  </si>
  <si>
    <t>b</t>
  </si>
  <si>
    <t>Marginal Revenue MR</t>
  </si>
  <si>
    <t>Calculate MC</t>
  </si>
  <si>
    <t>MR = MC</t>
  </si>
  <si>
    <t>Other material</t>
  </si>
  <si>
    <t>1,000 - 315</t>
  </si>
  <si>
    <t>Price</t>
  </si>
  <si>
    <t>Highest price where the qty is zero</t>
  </si>
  <si>
    <t>corelation between price and qty</t>
  </si>
  <si>
    <t>Change in price / change in qty</t>
  </si>
  <si>
    <t>q</t>
  </si>
  <si>
    <t>Quantity</t>
  </si>
  <si>
    <t>a-bQ</t>
  </si>
  <si>
    <t>If P=0</t>
  </si>
  <si>
    <t>a=bQ</t>
  </si>
  <si>
    <t>Profit is maximised</t>
  </si>
  <si>
    <t>where</t>
  </si>
  <si>
    <t>MR =</t>
  </si>
  <si>
    <t>TR / Q</t>
  </si>
  <si>
    <t>TR =</t>
  </si>
  <si>
    <t>P =</t>
  </si>
  <si>
    <t>b =</t>
  </si>
  <si>
    <t>Change in price / Change in Qty</t>
  </si>
  <si>
    <t>10 / 10,000</t>
  </si>
  <si>
    <t>Lets find " b"</t>
  </si>
  <si>
    <t>Lets find "a"</t>
  </si>
  <si>
    <t>we have been given that when P=0 maximum qty is 1,000,000</t>
  </si>
  <si>
    <t>0.001*1,000,000</t>
  </si>
  <si>
    <t>1,000 - 0.001Q</t>
  </si>
  <si>
    <t>Qty</t>
  </si>
  <si>
    <t>Total Revenue TR</t>
  </si>
  <si>
    <t>P*Q = (1,000 - 0.001Q)Q</t>
  </si>
  <si>
    <t>PQ = 1,000Q - 0.001Q^2</t>
  </si>
  <si>
    <t>TR/Q</t>
  </si>
  <si>
    <r>
      <rPr>
        <u/>
        <sz val="11"/>
        <color theme="1"/>
        <rFont val="Calibri"/>
        <family val="2"/>
        <scheme val="minor"/>
      </rPr>
      <t>PQ</t>
    </r>
    <r>
      <rPr>
        <sz val="11"/>
        <color theme="1"/>
        <rFont val="Calibri"/>
        <family val="2"/>
        <scheme val="minor"/>
      </rPr>
      <t xml:space="preserve"> = </t>
    </r>
    <r>
      <rPr>
        <u/>
        <sz val="11"/>
        <color theme="1"/>
        <rFont val="Calibri"/>
        <family val="2"/>
        <scheme val="minor"/>
      </rPr>
      <t>1,000Q</t>
    </r>
    <r>
      <rPr>
        <sz val="11"/>
        <color theme="1"/>
        <rFont val="Calibri"/>
        <family val="2"/>
        <scheme val="minor"/>
      </rPr>
      <t xml:space="preserve"> - </t>
    </r>
    <r>
      <rPr>
        <u/>
        <sz val="11"/>
        <color theme="1"/>
        <rFont val="Calibri"/>
        <family val="2"/>
        <scheme val="minor"/>
      </rPr>
      <t>0.001Q^2</t>
    </r>
  </si>
  <si>
    <t>Q           Q                Q</t>
  </si>
  <si>
    <t>MR = 1,000 -0.001*2Q^2-1</t>
  </si>
  <si>
    <t>MR = 1,000 -0.001*2Q^1</t>
  </si>
  <si>
    <t>MR = 1,000 - 0.002Q</t>
  </si>
  <si>
    <t>Optimum price</t>
  </si>
  <si>
    <t>MR=MC</t>
  </si>
  <si>
    <t>1,000 - 0.002Q = MC</t>
  </si>
  <si>
    <t>Material</t>
  </si>
  <si>
    <t>Labour  50*80%</t>
  </si>
  <si>
    <t>Packing</t>
  </si>
  <si>
    <t>VOH</t>
  </si>
  <si>
    <t>1,000 - 0.002Q = 370</t>
  </si>
  <si>
    <t>-0.002Q = 370 - 1,000</t>
  </si>
  <si>
    <t>-0.002Q = -630</t>
  </si>
  <si>
    <t>Q = 630/0.002</t>
  </si>
  <si>
    <t>Q= 315,000</t>
  </si>
  <si>
    <t>1,000 - 0.001*315,000</t>
  </si>
  <si>
    <t>Question 5</t>
  </si>
  <si>
    <t>0.5 / 100,000</t>
  </si>
  <si>
    <t>25 =</t>
  </si>
  <si>
    <t>a-0.000005*1,000,000</t>
  </si>
  <si>
    <t>a - 5</t>
  </si>
  <si>
    <t>25+ 5 =</t>
  </si>
  <si>
    <t>a =</t>
  </si>
  <si>
    <t>30 - 0.000005Q</t>
  </si>
  <si>
    <t>Total Revenue TR =</t>
  </si>
  <si>
    <t>P*Q = 30*Q -0.000005Q*Q</t>
  </si>
  <si>
    <t>TR = 30Q - 0.000005Q^2</t>
  </si>
  <si>
    <t>Marginal Revenue MR =</t>
  </si>
  <si>
    <r>
      <t xml:space="preserve">MR = </t>
    </r>
    <r>
      <rPr>
        <u/>
        <sz val="11"/>
        <color theme="1"/>
        <rFont val="Calibri"/>
        <family val="2"/>
        <scheme val="minor"/>
      </rPr>
      <t>30Q</t>
    </r>
    <r>
      <rPr>
        <sz val="11"/>
        <color theme="1"/>
        <rFont val="Calibri"/>
        <family val="2"/>
        <scheme val="minor"/>
      </rPr>
      <t xml:space="preserve"> - </t>
    </r>
    <r>
      <rPr>
        <u/>
        <sz val="11"/>
        <color theme="1"/>
        <rFont val="Calibri"/>
        <family val="2"/>
        <scheme val="minor"/>
      </rPr>
      <t>0.000005Q^2</t>
    </r>
  </si>
  <si>
    <t xml:space="preserve">             Q                 Q</t>
  </si>
  <si>
    <t>MR = 30 - 0.000005*2Q^2-1</t>
  </si>
  <si>
    <t>MR = 30 -0.000005*2Q^1</t>
  </si>
  <si>
    <t>MR = 30 -0.00001Q</t>
  </si>
  <si>
    <t>30 - 0.00001Q = MC</t>
  </si>
  <si>
    <t>Calculate Marginal cost</t>
  </si>
  <si>
    <t>Plastic material</t>
  </si>
  <si>
    <t>Barrel</t>
  </si>
  <si>
    <t>Oil gel</t>
  </si>
  <si>
    <t>Labour</t>
  </si>
  <si>
    <t>OVOH</t>
  </si>
  <si>
    <t>MC per pen</t>
  </si>
  <si>
    <t>30 - 0.00001Q = 16.5</t>
  </si>
  <si>
    <t>0.00001Q = 13.5</t>
  </si>
  <si>
    <t>Q = 13.5/0.00001</t>
  </si>
  <si>
    <t>Q = 1,350,000</t>
  </si>
  <si>
    <t>Cost @ 16.5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</si>
</sst>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9" fontId="0" fillId="0" borderId="0" xfId="0" applyNumberFormat="1"/>
    <xf numFmtId="0" fontId="2" fillId="0" borderId="0" xfId="0" applyFont="1"/>
    <xf numFmtId="0" fontId="4" fillId="0" borderId="0" xfId="0" applyFont="1"/>
    <xf numFmtId="0" fontId="3" fillId="0" borderId="0" xfId="0" applyFont="1"/>
    <xf numFmtId="43" fontId="0" fillId="0" borderId="0" xfId="1" applyFont="1"/>
    <xf numFmtId="0" fontId="3" fillId="0" borderId="0" xfId="0" applyFont="1" applyAlignment="1">
      <alignment horizontal="right"/>
    </xf>
    <xf numFmtId="43" fontId="0" fillId="0" borderId="0" xfId="0" applyNumberFormat="1"/>
    <xf numFmtId="43" fontId="3" fillId="0" borderId="0" xfId="0" applyNumberFormat="1" applyFont="1"/>
    <xf numFmtId="43" fontId="3" fillId="0" borderId="0" xfId="1" applyFont="1"/>
    <xf numFmtId="43" fontId="2" fillId="0" borderId="0" xfId="1" applyFont="1"/>
    <xf numFmtId="43" fontId="0" fillId="0" borderId="1" xfId="0" applyNumberFormat="1" applyBorder="1"/>
    <xf numFmtId="43" fontId="2" fillId="0" borderId="2" xfId="1" applyFont="1" applyBorder="1"/>
    <xf numFmtId="43" fontId="0" fillId="0" borderId="2" xfId="1" applyFont="1" applyBorder="1"/>
    <xf numFmtId="0" fontId="0" fillId="0" borderId="2" xfId="0" applyBorder="1"/>
    <xf numFmtId="43" fontId="2" fillId="0" borderId="0" xfId="1" applyFont="1" applyBorder="1"/>
    <xf numFmtId="43" fontId="0" fillId="0" borderId="0" xfId="1" applyFont="1" applyBorder="1"/>
    <xf numFmtId="43" fontId="3" fillId="0" borderId="0" xfId="1" applyFont="1" applyBorder="1"/>
    <xf numFmtId="0" fontId="5" fillId="0" borderId="0" xfId="0" applyFont="1"/>
    <xf numFmtId="43" fontId="2" fillId="0" borderId="1" xfId="0" applyNumberFormat="1" applyFont="1" applyBorder="1"/>
    <xf numFmtId="43" fontId="6" fillId="0" borderId="0" xfId="1" applyFont="1"/>
    <xf numFmtId="43" fontId="6" fillId="0" borderId="1" xfId="0" applyNumberFormat="1" applyFont="1" applyBorder="1"/>
    <xf numFmtId="9" fontId="0" fillId="0" borderId="0" xfId="0" applyNumberFormat="1" applyAlignment="1">
      <alignment horizontal="left"/>
    </xf>
    <xf numFmtId="0" fontId="7" fillId="0" borderId="0" xfId="0" applyFont="1"/>
    <xf numFmtId="43" fontId="0" fillId="2" borderId="0" xfId="1" applyFont="1" applyFill="1"/>
    <xf numFmtId="43" fontId="0" fillId="2" borderId="0" xfId="0" applyNumberFormat="1" applyFill="1"/>
    <xf numFmtId="43" fontId="4" fillId="0" borderId="1" xfId="0" applyNumberFormat="1" applyFont="1" applyBorder="1"/>
    <xf numFmtId="0" fontId="0" fillId="0" borderId="0" xfId="0" applyAlignment="1">
      <alignment horizontal="right"/>
    </xf>
    <xf numFmtId="0" fontId="0" fillId="2" borderId="0" xfId="0" applyFill="1"/>
    <xf numFmtId="0" fontId="2" fillId="0" borderId="0" xfId="0" applyFont="1" applyAlignment="1">
      <alignment horizontal="left" indent="2"/>
    </xf>
    <xf numFmtId="43" fontId="2" fillId="2" borderId="2" xfId="1" applyFont="1" applyFill="1" applyBorder="1"/>
    <xf numFmtId="9" fontId="0" fillId="0" borderId="1" xfId="2" applyFont="1" applyBorder="1"/>
    <xf numFmtId="43" fontId="6" fillId="2" borderId="0" xfId="1" applyFont="1" applyFill="1"/>
    <xf numFmtId="43" fontId="4" fillId="0" borderId="0" xfId="1" applyFont="1"/>
    <xf numFmtId="0" fontId="5" fillId="0" borderId="0" xfId="0" applyFont="1" applyAlignment="1">
      <alignment horizontal="center"/>
    </xf>
    <xf numFmtId="43" fontId="0" fillId="0" borderId="1" xfId="1" applyFont="1" applyBorder="1"/>
    <xf numFmtId="43" fontId="0" fillId="0" borderId="0" xfId="1" applyFont="1" applyFill="1"/>
    <xf numFmtId="43" fontId="0" fillId="0" borderId="0" xfId="1" applyFont="1" applyFill="1" applyBorder="1"/>
    <xf numFmtId="16" fontId="0" fillId="0" borderId="0" xfId="0" quotePrefix="1" applyNumberFormat="1"/>
    <xf numFmtId="0" fontId="0" fillId="0" borderId="0" xfId="0" quotePrefix="1"/>
    <xf numFmtId="43" fontId="2" fillId="0" borderId="0" xfId="0" applyNumberFormat="1" applyFont="1"/>
    <xf numFmtId="9" fontId="0" fillId="0" borderId="0" xfId="2" applyFont="1"/>
    <xf numFmtId="10" fontId="4" fillId="0" borderId="0" xfId="2" applyNumberFormat="1" applyFont="1"/>
    <xf numFmtId="0" fontId="0" fillId="0" borderId="0" xfId="0" applyAlignment="1">
      <alignment horizontal="left"/>
    </xf>
    <xf numFmtId="9" fontId="2" fillId="0" borderId="0" xfId="2" applyFont="1"/>
    <xf numFmtId="0" fontId="3" fillId="3" borderId="0" xfId="0" applyFont="1" applyFill="1"/>
    <xf numFmtId="0" fontId="3" fillId="3" borderId="0" xfId="0" applyFont="1" applyFill="1" applyAlignment="1">
      <alignment horizontal="right" wrapText="1"/>
    </xf>
    <xf numFmtId="0" fontId="3" fillId="3" borderId="0" xfId="0" applyFont="1" applyFill="1" applyAlignment="1">
      <alignment horizontal="right"/>
    </xf>
    <xf numFmtId="9" fontId="0" fillId="2" borderId="0" xfId="0" applyNumberFormat="1" applyFill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3" fontId="9" fillId="0" borderId="0" xfId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43" fontId="10" fillId="0" borderId="0" xfId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4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4" fontId="11" fillId="0" borderId="0" xfId="0" applyNumberFormat="1" applyFont="1" applyAlignment="1">
      <alignment horizontal="right" vertical="center"/>
    </xf>
    <xf numFmtId="3" fontId="0" fillId="0" borderId="0" xfId="0" applyNumberFormat="1"/>
    <xf numFmtId="43" fontId="0" fillId="0" borderId="4" xfId="0" applyNumberFormat="1" applyBorder="1"/>
    <xf numFmtId="43" fontId="0" fillId="0" borderId="2" xfId="0" applyNumberFormat="1" applyBorder="1"/>
    <xf numFmtId="43" fontId="0" fillId="2" borderId="3" xfId="1" applyFont="1" applyFill="1" applyBorder="1"/>
    <xf numFmtId="43" fontId="0" fillId="0" borderId="0" xfId="0" applyNumberFormat="1" applyFill="1" applyBorder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400051</xdr:colOff>
      <xdr:row>6</xdr:row>
      <xdr:rowOff>171451</xdr:rowOff>
    </xdr:from>
    <xdr:to>
      <xdr:col>5</xdr:col>
      <xdr:colOff>419101</xdr:colOff>
      <xdr:row>12</xdr:row>
      <xdr:rowOff>171451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xmlns="" id="{AE47A531-85F8-47A0-AA88-E44D78F39A72}"/>
            </a:ext>
          </a:extLst>
        </xdr:cNvPr>
        <xdr:cNvSpPr/>
      </xdr:nvSpPr>
      <xdr:spPr>
        <a:xfrm>
          <a:off x="2228851" y="1314451"/>
          <a:ext cx="1238250" cy="11430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3600"/>
            <a:t>A </a:t>
          </a:r>
        </a:p>
      </xdr:txBody>
    </xdr:sp>
    <xdr:clientData/>
  </xdr:twoCellAnchor>
  <xdr:twoCellAnchor>
    <xdr:from>
      <xdr:col>8</xdr:col>
      <xdr:colOff>114300</xdr:colOff>
      <xdr:row>6</xdr:row>
      <xdr:rowOff>152400</xdr:rowOff>
    </xdr:from>
    <xdr:to>
      <xdr:col>10</xdr:col>
      <xdr:colOff>200025</xdr:colOff>
      <xdr:row>12</xdr:row>
      <xdr:rowOff>180975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xmlns="" id="{DED744EE-9825-4A23-A444-01364C5D7F45}"/>
            </a:ext>
          </a:extLst>
        </xdr:cNvPr>
        <xdr:cNvSpPr/>
      </xdr:nvSpPr>
      <xdr:spPr>
        <a:xfrm>
          <a:off x="4991100" y="1104900"/>
          <a:ext cx="1304925" cy="11715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3600"/>
            <a:t>B</a:t>
          </a:r>
        </a:p>
      </xdr:txBody>
    </xdr:sp>
    <xdr:clientData/>
  </xdr:twoCellAnchor>
  <xdr:twoCellAnchor>
    <xdr:from>
      <xdr:col>5</xdr:col>
      <xdr:colOff>190500</xdr:colOff>
      <xdr:row>2</xdr:row>
      <xdr:rowOff>171450</xdr:rowOff>
    </xdr:from>
    <xdr:to>
      <xdr:col>9</xdr:col>
      <xdr:colOff>47625</xdr:colOff>
      <xdr:row>6</xdr:row>
      <xdr:rowOff>133350</xdr:rowOff>
    </xdr:to>
    <xdr:sp macro="" textlink="">
      <xdr:nvSpPr>
        <xdr:cNvPr id="4" name="Curved Down Arrow 3">
          <a:extLst>
            <a:ext uri="{FF2B5EF4-FFF2-40B4-BE49-F238E27FC236}">
              <a16:creationId xmlns:a16="http://schemas.microsoft.com/office/drawing/2014/main" xmlns="" id="{9488CA5F-C38C-4699-891A-1B270B0F9238}"/>
            </a:ext>
          </a:extLst>
        </xdr:cNvPr>
        <xdr:cNvSpPr/>
      </xdr:nvSpPr>
      <xdr:spPr>
        <a:xfrm>
          <a:off x="3238500" y="552450"/>
          <a:ext cx="2600325" cy="723900"/>
        </a:xfrm>
        <a:prstGeom prst="curved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371475</xdr:colOff>
      <xdr:row>3</xdr:row>
      <xdr:rowOff>57150</xdr:rowOff>
    </xdr:from>
    <xdr:to>
      <xdr:col>12</xdr:col>
      <xdr:colOff>590550</xdr:colOff>
      <xdr:row>7</xdr:row>
      <xdr:rowOff>19050</xdr:rowOff>
    </xdr:to>
    <xdr:sp macro="" textlink="">
      <xdr:nvSpPr>
        <xdr:cNvPr id="5" name="Curved Down Arrow 4">
          <a:extLst>
            <a:ext uri="{FF2B5EF4-FFF2-40B4-BE49-F238E27FC236}">
              <a16:creationId xmlns:a16="http://schemas.microsoft.com/office/drawing/2014/main" xmlns="" id="{9A82CFAF-ABB2-487C-8D89-AC19F4D1403E}"/>
            </a:ext>
          </a:extLst>
        </xdr:cNvPr>
        <xdr:cNvSpPr/>
      </xdr:nvSpPr>
      <xdr:spPr>
        <a:xfrm flipH="1">
          <a:off x="5857875" y="438150"/>
          <a:ext cx="2047875" cy="723900"/>
        </a:xfrm>
        <a:prstGeom prst="curved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47624</xdr:colOff>
      <xdr:row>6</xdr:row>
      <xdr:rowOff>47624</xdr:rowOff>
    </xdr:from>
    <xdr:to>
      <xdr:col>2</xdr:col>
      <xdr:colOff>95249</xdr:colOff>
      <xdr:row>10</xdr:row>
      <xdr:rowOff>171449</xdr:rowOff>
    </xdr:to>
    <xdr:sp macro="" textlink="">
      <xdr:nvSpPr>
        <xdr:cNvPr id="6" name="Isosceles Triangle 5">
          <a:extLst>
            <a:ext uri="{FF2B5EF4-FFF2-40B4-BE49-F238E27FC236}">
              <a16:creationId xmlns:a16="http://schemas.microsoft.com/office/drawing/2014/main" xmlns="" id="{31D8BA98-D3C0-44F4-974F-086F03AFA65F}"/>
            </a:ext>
          </a:extLst>
        </xdr:cNvPr>
        <xdr:cNvSpPr/>
      </xdr:nvSpPr>
      <xdr:spPr>
        <a:xfrm>
          <a:off x="47624" y="1190624"/>
          <a:ext cx="1266825" cy="885825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/>
            <a:t>Market</a:t>
          </a:r>
        </a:p>
      </xdr:txBody>
    </xdr:sp>
    <xdr:clientData/>
  </xdr:twoCellAnchor>
  <xdr:twoCellAnchor>
    <xdr:from>
      <xdr:col>1</xdr:col>
      <xdr:colOff>295273</xdr:colOff>
      <xdr:row>5</xdr:row>
      <xdr:rowOff>19049</xdr:rowOff>
    </xdr:from>
    <xdr:to>
      <xdr:col>3</xdr:col>
      <xdr:colOff>590549</xdr:colOff>
      <xdr:row>8</xdr:row>
      <xdr:rowOff>47624</xdr:rowOff>
    </xdr:to>
    <xdr:sp macro="" textlink="">
      <xdr:nvSpPr>
        <xdr:cNvPr id="7" name="Curved Down Arrow 6">
          <a:extLst>
            <a:ext uri="{FF2B5EF4-FFF2-40B4-BE49-F238E27FC236}">
              <a16:creationId xmlns:a16="http://schemas.microsoft.com/office/drawing/2014/main" xmlns="" id="{EDAE67B0-B982-4F74-9AAE-B67751C47A51}"/>
            </a:ext>
          </a:extLst>
        </xdr:cNvPr>
        <xdr:cNvSpPr/>
      </xdr:nvSpPr>
      <xdr:spPr>
        <a:xfrm flipH="1">
          <a:off x="904873" y="971549"/>
          <a:ext cx="1514476" cy="600075"/>
        </a:xfrm>
        <a:prstGeom prst="curved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285746</xdr:colOff>
      <xdr:row>19</xdr:row>
      <xdr:rowOff>95250</xdr:rowOff>
    </xdr:to>
    <xdr:sp macro="" textlink="">
      <xdr:nvSpPr>
        <xdr:cNvPr id="8" name="Rectangle 7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819150</xdr:colOff>
      <xdr:row>13</xdr:row>
      <xdr:rowOff>28575</xdr:rowOff>
    </xdr:from>
    <xdr:to>
      <xdr:col>9</xdr:col>
      <xdr:colOff>971550</xdr:colOff>
      <xdr:row>13</xdr:row>
      <xdr:rowOff>180975</xdr:rowOff>
    </xdr:to>
    <xdr:sp macro="" textlink="">
      <xdr:nvSpPr>
        <xdr:cNvPr id="2" name="Arrow: Up 1">
          <a:extLst>
            <a:ext uri="{FF2B5EF4-FFF2-40B4-BE49-F238E27FC236}">
              <a16:creationId xmlns:a16="http://schemas.microsoft.com/office/drawing/2014/main" xmlns="" id="{D737034F-791F-C4AD-2980-F95638E056C7}"/>
            </a:ext>
          </a:extLst>
        </xdr:cNvPr>
        <xdr:cNvSpPr/>
      </xdr:nvSpPr>
      <xdr:spPr>
        <a:xfrm>
          <a:off x="7886700" y="2505075"/>
          <a:ext cx="152400" cy="1524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819150</xdr:colOff>
      <xdr:row>14</xdr:row>
      <xdr:rowOff>38100</xdr:rowOff>
    </xdr:from>
    <xdr:to>
      <xdr:col>9</xdr:col>
      <xdr:colOff>971550</xdr:colOff>
      <xdr:row>15</xdr:row>
      <xdr:rowOff>0</xdr:rowOff>
    </xdr:to>
    <xdr:sp macro="" textlink="">
      <xdr:nvSpPr>
        <xdr:cNvPr id="3" name="Arrow: Up 2">
          <a:extLst>
            <a:ext uri="{FF2B5EF4-FFF2-40B4-BE49-F238E27FC236}">
              <a16:creationId xmlns:a16="http://schemas.microsoft.com/office/drawing/2014/main" xmlns="" id="{312388C1-FB68-40AA-A6C5-464DF99BFEC6}"/>
            </a:ext>
          </a:extLst>
        </xdr:cNvPr>
        <xdr:cNvSpPr/>
      </xdr:nvSpPr>
      <xdr:spPr>
        <a:xfrm rot="10800000">
          <a:off x="7886700" y="2705100"/>
          <a:ext cx="152400" cy="1524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380996</xdr:colOff>
      <xdr:row>19</xdr:row>
      <xdr:rowOff>95250</xdr:rowOff>
    </xdr:to>
    <xdr:sp macro="" textlink="">
      <xdr:nvSpPr>
        <xdr:cNvPr id="4" name="Rectangle 3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447671</xdr:colOff>
      <xdr:row>15</xdr:row>
      <xdr:rowOff>95250</xdr:rowOff>
    </xdr:to>
    <xdr:sp macro="" textlink="">
      <xdr:nvSpPr>
        <xdr:cNvPr id="2" name="Rectangle 1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209546</xdr:colOff>
      <xdr:row>19</xdr:row>
      <xdr:rowOff>95250</xdr:rowOff>
    </xdr:to>
    <xdr:sp macro="" textlink="">
      <xdr:nvSpPr>
        <xdr:cNvPr id="2" name="Rectangle 1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628646</xdr:colOff>
      <xdr:row>19</xdr:row>
      <xdr:rowOff>95250</xdr:rowOff>
    </xdr:to>
    <xdr:sp macro="" textlink="">
      <xdr:nvSpPr>
        <xdr:cNvPr id="2" name="Rectangle 1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1200150</xdr:colOff>
      <xdr:row>8</xdr:row>
      <xdr:rowOff>47625</xdr:rowOff>
    </xdr:from>
    <xdr:to>
      <xdr:col>2</xdr:col>
      <xdr:colOff>752475</xdr:colOff>
      <xdr:row>14</xdr:row>
      <xdr:rowOff>114300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xmlns="" id="{5EB92AC9-62DA-45AA-9B5F-34D6518F835A}"/>
            </a:ext>
          </a:extLst>
        </xdr:cNvPr>
        <xdr:cNvSpPr/>
      </xdr:nvSpPr>
      <xdr:spPr>
        <a:xfrm>
          <a:off x="1200150" y="1571625"/>
          <a:ext cx="2343150" cy="12096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/>
            <a:t>Division LM</a:t>
          </a:r>
        </a:p>
      </xdr:txBody>
    </xdr:sp>
    <xdr:clientData/>
  </xdr:twoCellAnchor>
  <xdr:twoCellAnchor>
    <xdr:from>
      <xdr:col>4</xdr:col>
      <xdr:colOff>1028700</xdr:colOff>
      <xdr:row>8</xdr:row>
      <xdr:rowOff>38100</xdr:rowOff>
    </xdr:from>
    <xdr:to>
      <xdr:col>6</xdr:col>
      <xdr:colOff>142875</xdr:colOff>
      <xdr:row>14</xdr:row>
      <xdr:rowOff>104775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xmlns="" id="{CE076232-E169-4604-B547-B2D36A44ABA0}"/>
            </a:ext>
          </a:extLst>
        </xdr:cNvPr>
        <xdr:cNvSpPr/>
      </xdr:nvSpPr>
      <xdr:spPr>
        <a:xfrm>
          <a:off x="6134100" y="1562100"/>
          <a:ext cx="1247775" cy="12096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Division IM</a:t>
          </a:r>
        </a:p>
      </xdr:txBody>
    </xdr:sp>
    <xdr:clientData/>
  </xdr:twoCellAnchor>
  <xdr:twoCellAnchor>
    <xdr:from>
      <xdr:col>1</xdr:col>
      <xdr:colOff>952500</xdr:colOff>
      <xdr:row>2</xdr:row>
      <xdr:rowOff>133350</xdr:rowOff>
    </xdr:from>
    <xdr:to>
      <xdr:col>5</xdr:col>
      <xdr:colOff>676275</xdr:colOff>
      <xdr:row>8</xdr:row>
      <xdr:rowOff>66675</xdr:rowOff>
    </xdr:to>
    <xdr:sp macro="" textlink="">
      <xdr:nvSpPr>
        <xdr:cNvPr id="4" name="Curved Down Arrow 3">
          <a:extLst>
            <a:ext uri="{FF2B5EF4-FFF2-40B4-BE49-F238E27FC236}">
              <a16:creationId xmlns:a16="http://schemas.microsoft.com/office/drawing/2014/main" xmlns="" id="{9A939854-F6F9-4753-88E3-F07C8FA1DAC5}"/>
            </a:ext>
          </a:extLst>
        </xdr:cNvPr>
        <xdr:cNvSpPr/>
      </xdr:nvSpPr>
      <xdr:spPr>
        <a:xfrm>
          <a:off x="2390775" y="514350"/>
          <a:ext cx="4457700" cy="1076325"/>
        </a:xfrm>
        <a:prstGeom prst="curved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695322</xdr:colOff>
      <xdr:row>3</xdr:row>
      <xdr:rowOff>95251</xdr:rowOff>
    </xdr:from>
    <xdr:to>
      <xdr:col>8</xdr:col>
      <xdr:colOff>285749</xdr:colOff>
      <xdr:row>8</xdr:row>
      <xdr:rowOff>57151</xdr:rowOff>
    </xdr:to>
    <xdr:sp macro="" textlink="">
      <xdr:nvSpPr>
        <xdr:cNvPr id="5" name="Curved Down Arrow 5">
          <a:extLst>
            <a:ext uri="{FF2B5EF4-FFF2-40B4-BE49-F238E27FC236}">
              <a16:creationId xmlns:a16="http://schemas.microsoft.com/office/drawing/2014/main" xmlns="" id="{702AA2AE-5272-4F9A-B8B5-7B3B3C3DD55E}"/>
            </a:ext>
          </a:extLst>
        </xdr:cNvPr>
        <xdr:cNvSpPr/>
      </xdr:nvSpPr>
      <xdr:spPr>
        <a:xfrm>
          <a:off x="6867522" y="666751"/>
          <a:ext cx="1933577" cy="914400"/>
        </a:xfrm>
        <a:prstGeom prst="curved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504821</xdr:colOff>
      <xdr:row>19</xdr:row>
      <xdr:rowOff>95250</xdr:rowOff>
    </xdr:to>
    <xdr:sp macro="" textlink="">
      <xdr:nvSpPr>
        <xdr:cNvPr id="6" name="Rectangle 5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5</xdr:row>
      <xdr:rowOff>47625</xdr:rowOff>
    </xdr:from>
    <xdr:to>
      <xdr:col>4</xdr:col>
      <xdr:colOff>361950</xdr:colOff>
      <xdr:row>11</xdr:row>
      <xdr:rowOff>114300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552575" y="1190625"/>
          <a:ext cx="1247775" cy="12096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/>
            <a:t>Division A</a:t>
          </a:r>
        </a:p>
      </xdr:txBody>
    </xdr:sp>
    <xdr:clientData/>
  </xdr:twoCellAnchor>
  <xdr:twoCellAnchor>
    <xdr:from>
      <xdr:col>7</xdr:col>
      <xdr:colOff>142875</xdr:colOff>
      <xdr:row>5</xdr:row>
      <xdr:rowOff>47625</xdr:rowOff>
    </xdr:from>
    <xdr:to>
      <xdr:col>9</xdr:col>
      <xdr:colOff>171450</xdr:colOff>
      <xdr:row>11</xdr:row>
      <xdr:rowOff>114300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4410075" y="1190625"/>
          <a:ext cx="1247775" cy="12096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Division B</a:t>
          </a:r>
        </a:p>
      </xdr:txBody>
    </xdr:sp>
    <xdr:clientData/>
  </xdr:twoCellAnchor>
  <xdr:twoCellAnchor>
    <xdr:from>
      <xdr:col>3</xdr:col>
      <xdr:colOff>428625</xdr:colOff>
      <xdr:row>1</xdr:row>
      <xdr:rowOff>38100</xdr:rowOff>
    </xdr:from>
    <xdr:to>
      <xdr:col>8</xdr:col>
      <xdr:colOff>161925</xdr:colOff>
      <xdr:row>6</xdr:row>
      <xdr:rowOff>161925</xdr:rowOff>
    </xdr:to>
    <xdr:sp macro="" textlink="">
      <xdr:nvSpPr>
        <xdr:cNvPr id="4" name="Curved Down Arrow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2257425" y="419100"/>
          <a:ext cx="2781300" cy="1076325"/>
        </a:xfrm>
        <a:prstGeom prst="curved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228599</xdr:colOff>
      <xdr:row>2</xdr:row>
      <xdr:rowOff>47626</xdr:rowOff>
    </xdr:from>
    <xdr:to>
      <xdr:col>3</xdr:col>
      <xdr:colOff>161924</xdr:colOff>
      <xdr:row>7</xdr:row>
      <xdr:rowOff>9526</xdr:rowOff>
    </xdr:to>
    <xdr:sp macro="" textlink="">
      <xdr:nvSpPr>
        <xdr:cNvPr id="5" name="Curved Down Arrow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 flipH="1">
          <a:off x="228599" y="619126"/>
          <a:ext cx="1762125" cy="914400"/>
        </a:xfrm>
        <a:prstGeom prst="curved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266697</xdr:colOff>
      <xdr:row>1</xdr:row>
      <xdr:rowOff>133351</xdr:rowOff>
    </xdr:from>
    <xdr:to>
      <xdr:col>11</xdr:col>
      <xdr:colOff>371474</xdr:colOff>
      <xdr:row>6</xdr:row>
      <xdr:rowOff>95251</xdr:rowOff>
    </xdr:to>
    <xdr:sp macro="" textlink="">
      <xdr:nvSpPr>
        <xdr:cNvPr id="6" name="Curved Down Arrow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5143497" y="514351"/>
          <a:ext cx="1933577" cy="914400"/>
        </a:xfrm>
        <a:prstGeom prst="curved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114296</xdr:colOff>
      <xdr:row>19</xdr:row>
      <xdr:rowOff>95250</xdr:rowOff>
    </xdr:to>
    <xdr:sp macro="" textlink="">
      <xdr:nvSpPr>
        <xdr:cNvPr id="7" name="Rectangle 6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5</xdr:row>
      <xdr:rowOff>47625</xdr:rowOff>
    </xdr:from>
    <xdr:to>
      <xdr:col>4</xdr:col>
      <xdr:colOff>361950</xdr:colOff>
      <xdr:row>11</xdr:row>
      <xdr:rowOff>114300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2390775" y="1190625"/>
          <a:ext cx="1390650" cy="12096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/>
            <a:t>Division A</a:t>
          </a:r>
        </a:p>
      </xdr:txBody>
    </xdr:sp>
    <xdr:clientData/>
  </xdr:twoCellAnchor>
  <xdr:twoCellAnchor>
    <xdr:from>
      <xdr:col>7</xdr:col>
      <xdr:colOff>142875</xdr:colOff>
      <xdr:row>5</xdr:row>
      <xdr:rowOff>47625</xdr:rowOff>
    </xdr:from>
    <xdr:to>
      <xdr:col>9</xdr:col>
      <xdr:colOff>171450</xdr:colOff>
      <xdr:row>11</xdr:row>
      <xdr:rowOff>114300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5562600" y="1190625"/>
          <a:ext cx="1666875" cy="12096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Division B</a:t>
          </a:r>
        </a:p>
      </xdr:txBody>
    </xdr:sp>
    <xdr:clientData/>
  </xdr:twoCellAnchor>
  <xdr:twoCellAnchor>
    <xdr:from>
      <xdr:col>3</xdr:col>
      <xdr:colOff>428625</xdr:colOff>
      <xdr:row>1</xdr:row>
      <xdr:rowOff>38100</xdr:rowOff>
    </xdr:from>
    <xdr:to>
      <xdr:col>8</xdr:col>
      <xdr:colOff>161925</xdr:colOff>
      <xdr:row>6</xdr:row>
      <xdr:rowOff>161925</xdr:rowOff>
    </xdr:to>
    <xdr:sp macro="" textlink="">
      <xdr:nvSpPr>
        <xdr:cNvPr id="4" name="Curved Down Arrow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3095625" y="419100"/>
          <a:ext cx="3095625" cy="1076325"/>
        </a:xfrm>
        <a:prstGeom prst="curved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228599</xdr:colOff>
      <xdr:row>2</xdr:row>
      <xdr:rowOff>47626</xdr:rowOff>
    </xdr:from>
    <xdr:to>
      <xdr:col>3</xdr:col>
      <xdr:colOff>161924</xdr:colOff>
      <xdr:row>7</xdr:row>
      <xdr:rowOff>9526</xdr:rowOff>
    </xdr:to>
    <xdr:sp macro="" textlink="">
      <xdr:nvSpPr>
        <xdr:cNvPr id="5" name="Curved Down Arrow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 flipH="1">
          <a:off x="228599" y="619126"/>
          <a:ext cx="2600325" cy="914400"/>
        </a:xfrm>
        <a:prstGeom prst="curved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266697</xdr:colOff>
      <xdr:row>1</xdr:row>
      <xdr:rowOff>133351</xdr:rowOff>
    </xdr:from>
    <xdr:to>
      <xdr:col>11</xdr:col>
      <xdr:colOff>371474</xdr:colOff>
      <xdr:row>6</xdr:row>
      <xdr:rowOff>95251</xdr:rowOff>
    </xdr:to>
    <xdr:sp macro="" textlink="">
      <xdr:nvSpPr>
        <xdr:cNvPr id="6" name="Curved Down Arrow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>
          <a:off x="6296022" y="514351"/>
          <a:ext cx="2381252" cy="914400"/>
        </a:xfrm>
        <a:prstGeom prst="curved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352421</xdr:colOff>
      <xdr:row>19</xdr:row>
      <xdr:rowOff>57150</xdr:rowOff>
    </xdr:to>
    <xdr:sp macro="" textlink="">
      <xdr:nvSpPr>
        <xdr:cNvPr id="7" name="Rectangle 6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6</xdr:row>
      <xdr:rowOff>47625</xdr:rowOff>
    </xdr:from>
    <xdr:to>
      <xdr:col>4</xdr:col>
      <xdr:colOff>361950</xdr:colOff>
      <xdr:row>12</xdr:row>
      <xdr:rowOff>114300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2390775" y="1190625"/>
          <a:ext cx="1752600" cy="12096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/>
            <a:t>Division A</a:t>
          </a:r>
        </a:p>
      </xdr:txBody>
    </xdr:sp>
    <xdr:clientData/>
  </xdr:twoCellAnchor>
  <xdr:twoCellAnchor>
    <xdr:from>
      <xdr:col>7</xdr:col>
      <xdr:colOff>142875</xdr:colOff>
      <xdr:row>6</xdr:row>
      <xdr:rowOff>47625</xdr:rowOff>
    </xdr:from>
    <xdr:to>
      <xdr:col>9</xdr:col>
      <xdr:colOff>171450</xdr:colOff>
      <xdr:row>12</xdr:row>
      <xdr:rowOff>114300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6067425" y="1190625"/>
          <a:ext cx="1666875" cy="12096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Division B</a:t>
          </a:r>
        </a:p>
      </xdr:txBody>
    </xdr:sp>
    <xdr:clientData/>
  </xdr:twoCellAnchor>
  <xdr:twoCellAnchor>
    <xdr:from>
      <xdr:col>3</xdr:col>
      <xdr:colOff>428625</xdr:colOff>
      <xdr:row>2</xdr:row>
      <xdr:rowOff>38100</xdr:rowOff>
    </xdr:from>
    <xdr:to>
      <xdr:col>8</xdr:col>
      <xdr:colOff>161925</xdr:colOff>
      <xdr:row>7</xdr:row>
      <xdr:rowOff>161925</xdr:rowOff>
    </xdr:to>
    <xdr:sp macro="" textlink="">
      <xdr:nvSpPr>
        <xdr:cNvPr id="4" name="Curved Down Arrow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3457575" y="419100"/>
          <a:ext cx="3238500" cy="1076325"/>
        </a:xfrm>
        <a:prstGeom prst="curved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228599</xdr:colOff>
      <xdr:row>3</xdr:row>
      <xdr:rowOff>47626</xdr:rowOff>
    </xdr:from>
    <xdr:to>
      <xdr:col>3</xdr:col>
      <xdr:colOff>161924</xdr:colOff>
      <xdr:row>8</xdr:row>
      <xdr:rowOff>9526</xdr:rowOff>
    </xdr:to>
    <xdr:sp macro="" textlink="">
      <xdr:nvSpPr>
        <xdr:cNvPr id="5" name="Curved Down Arrow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 flipH="1">
          <a:off x="228599" y="619126"/>
          <a:ext cx="2962275" cy="914400"/>
        </a:xfrm>
        <a:prstGeom prst="curved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266697</xdr:colOff>
      <xdr:row>2</xdr:row>
      <xdr:rowOff>133351</xdr:rowOff>
    </xdr:from>
    <xdr:to>
      <xdr:col>11</xdr:col>
      <xdr:colOff>371474</xdr:colOff>
      <xdr:row>7</xdr:row>
      <xdr:rowOff>95251</xdr:rowOff>
    </xdr:to>
    <xdr:sp macro="" textlink="">
      <xdr:nvSpPr>
        <xdr:cNvPr id="6" name="Curved Down Arrow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/>
      </xdr:nvSpPr>
      <xdr:spPr>
        <a:xfrm>
          <a:off x="6800847" y="514351"/>
          <a:ext cx="2381252" cy="914400"/>
        </a:xfrm>
        <a:prstGeom prst="curved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219071</xdr:colOff>
      <xdr:row>19</xdr:row>
      <xdr:rowOff>57150</xdr:rowOff>
    </xdr:to>
    <xdr:sp macro="" textlink="">
      <xdr:nvSpPr>
        <xdr:cNvPr id="7" name="Rectangle 6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5</xdr:row>
      <xdr:rowOff>152400</xdr:rowOff>
    </xdr:from>
    <xdr:to>
      <xdr:col>4</xdr:col>
      <xdr:colOff>285750</xdr:colOff>
      <xdr:row>12</xdr:row>
      <xdr:rowOff>28575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2819400" y="1104900"/>
          <a:ext cx="1381125" cy="12096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/>
            <a:t>Division A</a:t>
          </a:r>
        </a:p>
      </xdr:txBody>
    </xdr:sp>
    <xdr:clientData/>
  </xdr:twoCellAnchor>
  <xdr:twoCellAnchor>
    <xdr:from>
      <xdr:col>7</xdr:col>
      <xdr:colOff>161926</xdr:colOff>
      <xdr:row>5</xdr:row>
      <xdr:rowOff>123825</xdr:rowOff>
    </xdr:from>
    <xdr:to>
      <xdr:col>8</xdr:col>
      <xdr:colOff>847726</xdr:colOff>
      <xdr:row>12</xdr:row>
      <xdr:rowOff>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/>
      </xdr:nvSpPr>
      <xdr:spPr>
        <a:xfrm>
          <a:off x="6219826" y="1076325"/>
          <a:ext cx="1295400" cy="12096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Division B</a:t>
          </a:r>
        </a:p>
      </xdr:txBody>
    </xdr:sp>
    <xdr:clientData/>
  </xdr:twoCellAnchor>
  <xdr:twoCellAnchor>
    <xdr:from>
      <xdr:col>3</xdr:col>
      <xdr:colOff>428625</xdr:colOff>
      <xdr:row>2</xdr:row>
      <xdr:rowOff>38100</xdr:rowOff>
    </xdr:from>
    <xdr:to>
      <xdr:col>8</xdr:col>
      <xdr:colOff>161925</xdr:colOff>
      <xdr:row>7</xdr:row>
      <xdr:rowOff>161925</xdr:rowOff>
    </xdr:to>
    <xdr:sp macro="" textlink="">
      <xdr:nvSpPr>
        <xdr:cNvPr id="4" name="Curved Down Arrow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/>
      </xdr:nvSpPr>
      <xdr:spPr>
        <a:xfrm>
          <a:off x="3457575" y="419100"/>
          <a:ext cx="3238500" cy="1076325"/>
        </a:xfrm>
        <a:prstGeom prst="curved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228599</xdr:colOff>
      <xdr:row>3</xdr:row>
      <xdr:rowOff>47626</xdr:rowOff>
    </xdr:from>
    <xdr:to>
      <xdr:col>3</xdr:col>
      <xdr:colOff>161924</xdr:colOff>
      <xdr:row>8</xdr:row>
      <xdr:rowOff>9526</xdr:rowOff>
    </xdr:to>
    <xdr:sp macro="" textlink="">
      <xdr:nvSpPr>
        <xdr:cNvPr id="5" name="Curved Down Arrow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/>
      </xdr:nvSpPr>
      <xdr:spPr>
        <a:xfrm flipH="1">
          <a:off x="228599" y="619126"/>
          <a:ext cx="2962275" cy="914400"/>
        </a:xfrm>
        <a:prstGeom prst="curved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266697</xdr:colOff>
      <xdr:row>2</xdr:row>
      <xdr:rowOff>133351</xdr:rowOff>
    </xdr:from>
    <xdr:to>
      <xdr:col>11</xdr:col>
      <xdr:colOff>371474</xdr:colOff>
      <xdr:row>7</xdr:row>
      <xdr:rowOff>95251</xdr:rowOff>
    </xdr:to>
    <xdr:sp macro="" textlink="">
      <xdr:nvSpPr>
        <xdr:cNvPr id="6" name="Curved Down Arrow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/>
      </xdr:nvSpPr>
      <xdr:spPr>
        <a:xfrm>
          <a:off x="6800847" y="514351"/>
          <a:ext cx="2381252" cy="914400"/>
        </a:xfrm>
        <a:prstGeom prst="curved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514346</xdr:colOff>
      <xdr:row>19</xdr:row>
      <xdr:rowOff>76200</xdr:rowOff>
    </xdr:to>
    <xdr:sp macro="" textlink="">
      <xdr:nvSpPr>
        <xdr:cNvPr id="7" name="Rectangle 6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6</xdr:row>
      <xdr:rowOff>152400</xdr:rowOff>
    </xdr:from>
    <xdr:to>
      <xdr:col>4</xdr:col>
      <xdr:colOff>285750</xdr:colOff>
      <xdr:row>13</xdr:row>
      <xdr:rowOff>28575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xmlns="" id="{52EAD53F-F0B1-4F21-90CC-8997F47ECCB4}"/>
            </a:ext>
          </a:extLst>
        </xdr:cNvPr>
        <xdr:cNvSpPr/>
      </xdr:nvSpPr>
      <xdr:spPr>
        <a:xfrm>
          <a:off x="2819400" y="1104900"/>
          <a:ext cx="1562100" cy="12096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/>
            <a:t>Division A</a:t>
          </a:r>
        </a:p>
      </xdr:txBody>
    </xdr:sp>
    <xdr:clientData/>
  </xdr:twoCellAnchor>
  <xdr:twoCellAnchor>
    <xdr:from>
      <xdr:col>7</xdr:col>
      <xdr:colOff>161926</xdr:colOff>
      <xdr:row>6</xdr:row>
      <xdr:rowOff>123825</xdr:rowOff>
    </xdr:from>
    <xdr:to>
      <xdr:col>8</xdr:col>
      <xdr:colOff>847726</xdr:colOff>
      <xdr:row>13</xdr:row>
      <xdr:rowOff>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xmlns="" id="{59AE7C13-F11B-4BA3-8D76-14E36C66A09C}"/>
            </a:ext>
          </a:extLst>
        </xdr:cNvPr>
        <xdr:cNvSpPr/>
      </xdr:nvSpPr>
      <xdr:spPr>
        <a:xfrm>
          <a:off x="6400801" y="1076325"/>
          <a:ext cx="1295400" cy="12096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Division B</a:t>
          </a:r>
        </a:p>
      </xdr:txBody>
    </xdr:sp>
    <xdr:clientData/>
  </xdr:twoCellAnchor>
  <xdr:twoCellAnchor>
    <xdr:from>
      <xdr:col>3</xdr:col>
      <xdr:colOff>714375</xdr:colOff>
      <xdr:row>2</xdr:row>
      <xdr:rowOff>0</xdr:rowOff>
    </xdr:from>
    <xdr:to>
      <xdr:col>8</xdr:col>
      <xdr:colOff>447675</xdr:colOff>
      <xdr:row>7</xdr:row>
      <xdr:rowOff>123825</xdr:rowOff>
    </xdr:to>
    <xdr:sp macro="" textlink="">
      <xdr:nvSpPr>
        <xdr:cNvPr id="4" name="Curved Down Arrow 3">
          <a:extLst>
            <a:ext uri="{FF2B5EF4-FFF2-40B4-BE49-F238E27FC236}">
              <a16:creationId xmlns:a16="http://schemas.microsoft.com/office/drawing/2014/main" xmlns="" id="{8632E9D0-9C2F-45F5-8D74-0572F5AEC2A4}"/>
            </a:ext>
          </a:extLst>
        </xdr:cNvPr>
        <xdr:cNvSpPr/>
      </xdr:nvSpPr>
      <xdr:spPr>
        <a:xfrm>
          <a:off x="2543175" y="381000"/>
          <a:ext cx="3133725" cy="1076325"/>
        </a:xfrm>
        <a:prstGeom prst="curved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361949</xdr:colOff>
      <xdr:row>2</xdr:row>
      <xdr:rowOff>180976</xdr:rowOff>
    </xdr:from>
    <xdr:to>
      <xdr:col>3</xdr:col>
      <xdr:colOff>295274</xdr:colOff>
      <xdr:row>7</xdr:row>
      <xdr:rowOff>142876</xdr:rowOff>
    </xdr:to>
    <xdr:sp macro="" textlink="">
      <xdr:nvSpPr>
        <xdr:cNvPr id="5" name="Curved Down Arrow 4">
          <a:extLst>
            <a:ext uri="{FF2B5EF4-FFF2-40B4-BE49-F238E27FC236}">
              <a16:creationId xmlns:a16="http://schemas.microsoft.com/office/drawing/2014/main" xmlns="" id="{A6D8A722-BB1F-47DB-B224-818CF0479B8C}"/>
            </a:ext>
          </a:extLst>
        </xdr:cNvPr>
        <xdr:cNvSpPr/>
      </xdr:nvSpPr>
      <xdr:spPr>
        <a:xfrm flipH="1">
          <a:off x="361949" y="561976"/>
          <a:ext cx="1762125" cy="914400"/>
        </a:xfrm>
        <a:prstGeom prst="curved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428625</xdr:colOff>
      <xdr:row>3</xdr:row>
      <xdr:rowOff>171450</xdr:rowOff>
    </xdr:from>
    <xdr:to>
      <xdr:col>10</xdr:col>
      <xdr:colOff>419097</xdr:colOff>
      <xdr:row>7</xdr:row>
      <xdr:rowOff>161926</xdr:rowOff>
    </xdr:to>
    <xdr:sp macro="" textlink="">
      <xdr:nvSpPr>
        <xdr:cNvPr id="6" name="Curved Down Arrow 5">
          <a:extLst>
            <a:ext uri="{FF2B5EF4-FFF2-40B4-BE49-F238E27FC236}">
              <a16:creationId xmlns:a16="http://schemas.microsoft.com/office/drawing/2014/main" xmlns="" id="{95857A10-4357-4FA3-A7BB-CF270C3B0777}"/>
            </a:ext>
          </a:extLst>
        </xdr:cNvPr>
        <xdr:cNvSpPr/>
      </xdr:nvSpPr>
      <xdr:spPr>
        <a:xfrm flipH="1">
          <a:off x="5657850" y="742950"/>
          <a:ext cx="1485897" cy="752476"/>
        </a:xfrm>
        <a:prstGeom prst="curved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400046</xdr:colOff>
      <xdr:row>19</xdr:row>
      <xdr:rowOff>95250</xdr:rowOff>
    </xdr:to>
    <xdr:sp macro="" textlink="">
      <xdr:nvSpPr>
        <xdr:cNvPr id="7" name="Rectangle 6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361946</xdr:colOff>
      <xdr:row>19</xdr:row>
      <xdr:rowOff>57150</xdr:rowOff>
    </xdr:to>
    <xdr:sp macro="" textlink="">
      <xdr:nvSpPr>
        <xdr:cNvPr id="2" name="Rectangle 1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323846</xdr:colOff>
      <xdr:row>19</xdr:row>
      <xdr:rowOff>57150</xdr:rowOff>
    </xdr:to>
    <xdr:sp macro="" textlink="">
      <xdr:nvSpPr>
        <xdr:cNvPr id="2" name="Rectangle 1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457199</xdr:colOff>
      <xdr:row>7</xdr:row>
      <xdr:rowOff>142875</xdr:rowOff>
    </xdr:from>
    <xdr:to>
      <xdr:col>5</xdr:col>
      <xdr:colOff>428624</xdr:colOff>
      <xdr:row>14</xdr:row>
      <xdr:rowOff>19050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xmlns="" id="{3798F345-7F77-42AB-B27D-C38813BA58DF}"/>
            </a:ext>
          </a:extLst>
        </xdr:cNvPr>
        <xdr:cNvSpPr/>
      </xdr:nvSpPr>
      <xdr:spPr>
        <a:xfrm>
          <a:off x="2285999" y="1476375"/>
          <a:ext cx="1190625" cy="12096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/>
            <a:t>Moon</a:t>
          </a:r>
        </a:p>
      </xdr:txBody>
    </xdr:sp>
    <xdr:clientData/>
  </xdr:twoCellAnchor>
  <xdr:twoCellAnchor>
    <xdr:from>
      <xdr:col>8</xdr:col>
      <xdr:colOff>161926</xdr:colOff>
      <xdr:row>7</xdr:row>
      <xdr:rowOff>123825</xdr:rowOff>
    </xdr:from>
    <xdr:to>
      <xdr:col>10</xdr:col>
      <xdr:colOff>247650</xdr:colOff>
      <xdr:row>14</xdr:row>
      <xdr:rowOff>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xmlns="" id="{6A603946-C9D1-46F9-8382-67C67F1240F3}"/>
            </a:ext>
          </a:extLst>
        </xdr:cNvPr>
        <xdr:cNvSpPr/>
      </xdr:nvSpPr>
      <xdr:spPr>
        <a:xfrm>
          <a:off x="5038726" y="1457325"/>
          <a:ext cx="1304924" cy="12096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Star</a:t>
          </a:r>
        </a:p>
      </xdr:txBody>
    </xdr:sp>
    <xdr:clientData/>
  </xdr:twoCellAnchor>
  <xdr:twoCellAnchor>
    <xdr:from>
      <xdr:col>4</xdr:col>
      <xdr:colOff>714375</xdr:colOff>
      <xdr:row>3</xdr:row>
      <xdr:rowOff>0</xdr:rowOff>
    </xdr:from>
    <xdr:to>
      <xdr:col>9</xdr:col>
      <xdr:colOff>447675</xdr:colOff>
      <xdr:row>8</xdr:row>
      <xdr:rowOff>123825</xdr:rowOff>
    </xdr:to>
    <xdr:sp macro="" textlink="">
      <xdr:nvSpPr>
        <xdr:cNvPr id="4" name="Curved Down Arrow 3">
          <a:extLst>
            <a:ext uri="{FF2B5EF4-FFF2-40B4-BE49-F238E27FC236}">
              <a16:creationId xmlns:a16="http://schemas.microsoft.com/office/drawing/2014/main" xmlns="" id="{8E6F5E98-A532-49CC-9B53-775F590E9896}"/>
            </a:ext>
          </a:extLst>
        </xdr:cNvPr>
        <xdr:cNvSpPr/>
      </xdr:nvSpPr>
      <xdr:spPr>
        <a:xfrm>
          <a:off x="3810000" y="381000"/>
          <a:ext cx="3162300" cy="1076325"/>
        </a:xfrm>
        <a:prstGeom prst="curved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361949</xdr:colOff>
      <xdr:row>3</xdr:row>
      <xdr:rowOff>180976</xdr:rowOff>
    </xdr:from>
    <xdr:to>
      <xdr:col>4</xdr:col>
      <xdr:colOff>295274</xdr:colOff>
      <xdr:row>8</xdr:row>
      <xdr:rowOff>142876</xdr:rowOff>
    </xdr:to>
    <xdr:sp macro="" textlink="">
      <xdr:nvSpPr>
        <xdr:cNvPr id="5" name="Curved Down Arrow 4">
          <a:extLst>
            <a:ext uri="{FF2B5EF4-FFF2-40B4-BE49-F238E27FC236}">
              <a16:creationId xmlns:a16="http://schemas.microsoft.com/office/drawing/2014/main" xmlns="" id="{AE77C0C7-F2C9-4DD3-890D-B0ED82005EF6}"/>
            </a:ext>
          </a:extLst>
        </xdr:cNvPr>
        <xdr:cNvSpPr/>
      </xdr:nvSpPr>
      <xdr:spPr>
        <a:xfrm flipH="1">
          <a:off x="361949" y="561976"/>
          <a:ext cx="3028950" cy="914400"/>
        </a:xfrm>
        <a:prstGeom prst="curved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314324</xdr:colOff>
      <xdr:row>4</xdr:row>
      <xdr:rowOff>133350</xdr:rowOff>
    </xdr:from>
    <xdr:to>
      <xdr:col>12</xdr:col>
      <xdr:colOff>419099</xdr:colOff>
      <xdr:row>8</xdr:row>
      <xdr:rowOff>123826</xdr:rowOff>
    </xdr:to>
    <xdr:sp macro="" textlink="">
      <xdr:nvSpPr>
        <xdr:cNvPr id="6" name="Curved Down Arrow 5">
          <a:extLst>
            <a:ext uri="{FF2B5EF4-FFF2-40B4-BE49-F238E27FC236}">
              <a16:creationId xmlns:a16="http://schemas.microsoft.com/office/drawing/2014/main" xmlns="" id="{DECBB3D4-9268-4648-933D-5595C1479B8F}"/>
            </a:ext>
          </a:extLst>
        </xdr:cNvPr>
        <xdr:cNvSpPr/>
      </xdr:nvSpPr>
      <xdr:spPr>
        <a:xfrm rot="20954296" flipH="1">
          <a:off x="5981699" y="895350"/>
          <a:ext cx="1933575" cy="752476"/>
        </a:xfrm>
        <a:prstGeom prst="curved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352421</xdr:colOff>
      <xdr:row>19</xdr:row>
      <xdr:rowOff>95250</xdr:rowOff>
    </xdr:to>
    <xdr:sp macro="" textlink="">
      <xdr:nvSpPr>
        <xdr:cNvPr id="7" name="Rectangle 6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26"/>
  <sheetViews>
    <sheetView workbookViewId="0">
      <selection activeCell="G22" sqref="G22"/>
    </sheetView>
  </sheetViews>
  <sheetFormatPr defaultRowHeight="15" x14ac:dyDescent="0.25"/>
  <cols>
    <col min="6" max="6" width="13.7109375" customWidth="1"/>
  </cols>
  <sheetData>
    <row r="1" spans="3:14" x14ac:dyDescent="0.25">
      <c r="F1" s="67" t="s">
        <v>52</v>
      </c>
      <c r="G1" s="67"/>
      <c r="H1" s="67"/>
      <c r="I1" s="67"/>
    </row>
    <row r="3" spans="3:14" x14ac:dyDescent="0.25">
      <c r="E3" t="s">
        <v>41</v>
      </c>
      <c r="J3" t="s">
        <v>56</v>
      </c>
    </row>
    <row r="5" spans="3:14" x14ac:dyDescent="0.25">
      <c r="C5" t="s">
        <v>42</v>
      </c>
      <c r="E5" s="1">
        <v>0.14000000000000001</v>
      </c>
      <c r="G5" t="s">
        <v>58</v>
      </c>
      <c r="J5" s="22">
        <v>0.3</v>
      </c>
    </row>
    <row r="6" spans="3:14" x14ac:dyDescent="0.25">
      <c r="G6" s="29" t="s">
        <v>57</v>
      </c>
      <c r="H6" s="2"/>
    </row>
    <row r="7" spans="3:14" x14ac:dyDescent="0.25">
      <c r="G7" s="29" t="s">
        <v>59</v>
      </c>
    </row>
    <row r="8" spans="3:14" x14ac:dyDescent="0.25">
      <c r="C8" t="s">
        <v>43</v>
      </c>
      <c r="G8" s="29" t="s">
        <v>60</v>
      </c>
    </row>
    <row r="9" spans="3:14" x14ac:dyDescent="0.25">
      <c r="C9" s="2"/>
      <c r="G9" s="29" t="s">
        <v>61</v>
      </c>
      <c r="L9" t="s">
        <v>55</v>
      </c>
      <c r="N9" t="s">
        <v>44</v>
      </c>
    </row>
    <row r="10" spans="3:14" x14ac:dyDescent="0.25">
      <c r="G10" s="29" t="s">
        <v>62</v>
      </c>
    </row>
    <row r="14" spans="3:14" x14ac:dyDescent="0.25">
      <c r="E14" t="s">
        <v>53</v>
      </c>
      <c r="J14" t="s">
        <v>54</v>
      </c>
    </row>
    <row r="16" spans="3:14" x14ac:dyDescent="0.25">
      <c r="C16" t="s">
        <v>45</v>
      </c>
      <c r="E16" t="s">
        <v>46</v>
      </c>
      <c r="J16" t="s">
        <v>47</v>
      </c>
    </row>
    <row r="18" spans="5:10" x14ac:dyDescent="0.25">
      <c r="E18" t="s">
        <v>48</v>
      </c>
      <c r="J18" t="s">
        <v>49</v>
      </c>
    </row>
    <row r="21" spans="5:10" x14ac:dyDescent="0.25">
      <c r="E21" s="2" t="s">
        <v>15</v>
      </c>
      <c r="J21" s="2" t="s">
        <v>14</v>
      </c>
    </row>
    <row r="22" spans="5:10" x14ac:dyDescent="0.25">
      <c r="E22" t="s">
        <v>50</v>
      </c>
      <c r="J22" t="s">
        <v>51</v>
      </c>
    </row>
    <row r="24" spans="5:10" x14ac:dyDescent="0.25">
      <c r="F24" t="s">
        <v>17</v>
      </c>
    </row>
    <row r="25" spans="5:10" x14ac:dyDescent="0.25">
      <c r="F25" s="29" t="s">
        <v>63</v>
      </c>
    </row>
    <row r="26" spans="5:10" x14ac:dyDescent="0.25">
      <c r="F26" s="29" t="s">
        <v>64</v>
      </c>
    </row>
  </sheetData>
  <mergeCells count="1">
    <mergeCell ref="F1:I1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workbookViewId="0">
      <selection activeCell="G21" sqref="G21"/>
    </sheetView>
  </sheetViews>
  <sheetFormatPr defaultRowHeight="15" x14ac:dyDescent="0.25"/>
  <cols>
    <col min="1" max="1" width="22.7109375" bestFit="1" customWidth="1"/>
    <col min="3" max="3" width="11.28515625" customWidth="1"/>
    <col min="4" max="4" width="12.42578125" customWidth="1"/>
    <col min="5" max="5" width="11.7109375" customWidth="1"/>
    <col min="6" max="6" width="11.28515625" customWidth="1"/>
    <col min="10" max="10" width="16" customWidth="1"/>
  </cols>
  <sheetData>
    <row r="2" spans="1:10" x14ac:dyDescent="0.25">
      <c r="A2" s="4" t="s">
        <v>189</v>
      </c>
    </row>
    <row r="4" spans="1:10" x14ac:dyDescent="0.25">
      <c r="A4" t="s">
        <v>190</v>
      </c>
      <c r="C4" s="68" t="s">
        <v>191</v>
      </c>
      <c r="D4" s="68"/>
      <c r="E4" s="68" t="s">
        <v>192</v>
      </c>
      <c r="F4" s="68"/>
    </row>
    <row r="5" spans="1:10" x14ac:dyDescent="0.25">
      <c r="A5" t="s">
        <v>196</v>
      </c>
      <c r="C5" s="6" t="s">
        <v>194</v>
      </c>
      <c r="D5" s="6" t="s">
        <v>195</v>
      </c>
      <c r="E5" s="6" t="s">
        <v>194</v>
      </c>
      <c r="F5" s="6" t="s">
        <v>195</v>
      </c>
    </row>
    <row r="6" spans="1:10" x14ac:dyDescent="0.25">
      <c r="A6" s="23" t="s">
        <v>193</v>
      </c>
    </row>
    <row r="7" spans="1:10" x14ac:dyDescent="0.25">
      <c r="A7" t="s">
        <v>197</v>
      </c>
      <c r="C7" s="5">
        <v>224</v>
      </c>
      <c r="D7" s="5">
        <v>210</v>
      </c>
      <c r="E7" s="5">
        <v>61.5</v>
      </c>
      <c r="F7" s="5">
        <v>95</v>
      </c>
    </row>
    <row r="8" spans="1:10" x14ac:dyDescent="0.25">
      <c r="A8" t="s">
        <v>198</v>
      </c>
      <c r="C8" s="5">
        <v>91</v>
      </c>
      <c r="D8" s="5">
        <v>0</v>
      </c>
      <c r="E8" s="5">
        <v>38.5</v>
      </c>
      <c r="F8" s="5">
        <v>0</v>
      </c>
    </row>
    <row r="9" spans="1:10" x14ac:dyDescent="0.25">
      <c r="A9" t="s">
        <v>7</v>
      </c>
      <c r="C9" s="7">
        <f t="shared" ref="C9:F9" si="0">SUM(C7:C8)</f>
        <v>315</v>
      </c>
      <c r="D9" s="7">
        <f t="shared" si="0"/>
        <v>210</v>
      </c>
      <c r="E9" s="7">
        <f t="shared" si="0"/>
        <v>100</v>
      </c>
      <c r="F9" s="7">
        <f t="shared" si="0"/>
        <v>95</v>
      </c>
    </row>
    <row r="10" spans="1:10" x14ac:dyDescent="0.25">
      <c r="A10" t="s">
        <v>199</v>
      </c>
      <c r="C10" s="5">
        <v>1600</v>
      </c>
      <c r="D10" s="5">
        <v>1500</v>
      </c>
      <c r="E10" s="5">
        <v>400</v>
      </c>
      <c r="F10" s="5">
        <v>600</v>
      </c>
    </row>
    <row r="11" spans="1:10" x14ac:dyDescent="0.25">
      <c r="A11" s="3" t="s">
        <v>200</v>
      </c>
      <c r="B11" s="3"/>
      <c r="C11" s="42">
        <f>C9/C10</f>
        <v>0.19687499999999999</v>
      </c>
      <c r="D11" s="42">
        <f t="shared" ref="D11:F11" si="1">D9/D10</f>
        <v>0.14000000000000001</v>
      </c>
      <c r="E11" s="42">
        <f t="shared" si="1"/>
        <v>0.25</v>
      </c>
      <c r="F11" s="42">
        <f t="shared" si="1"/>
        <v>0.15833333333333333</v>
      </c>
    </row>
    <row r="13" spans="1:10" x14ac:dyDescent="0.25">
      <c r="A13" s="23" t="s">
        <v>201</v>
      </c>
    </row>
    <row r="14" spans="1:10" x14ac:dyDescent="0.25">
      <c r="A14" t="s">
        <v>197</v>
      </c>
      <c r="C14" s="5">
        <v>224</v>
      </c>
      <c r="D14" s="5">
        <v>210</v>
      </c>
      <c r="E14" s="5">
        <v>61.5</v>
      </c>
      <c r="F14" s="5">
        <v>95</v>
      </c>
      <c r="I14" t="s">
        <v>200</v>
      </c>
      <c r="J14" t="s">
        <v>7</v>
      </c>
    </row>
    <row r="15" spans="1:10" x14ac:dyDescent="0.25">
      <c r="A15" t="s">
        <v>202</v>
      </c>
      <c r="C15" s="5">
        <v>0</v>
      </c>
      <c r="D15" s="5">
        <f>-1200*0.07</f>
        <v>-84.000000000000014</v>
      </c>
      <c r="E15" s="5">
        <v>0</v>
      </c>
      <c r="F15" s="5">
        <f>-500*0.07</f>
        <v>-35</v>
      </c>
      <c r="J15" t="s">
        <v>199</v>
      </c>
    </row>
    <row r="16" spans="1:10" x14ac:dyDescent="0.25">
      <c r="A16" t="s">
        <v>7</v>
      </c>
      <c r="C16" s="7">
        <f t="shared" ref="C16" si="2">SUM(C14:C15)</f>
        <v>224</v>
      </c>
      <c r="D16" s="7">
        <f t="shared" ref="D16" si="3">SUM(D14:D15)</f>
        <v>125.99999999999999</v>
      </c>
      <c r="E16" s="7">
        <f t="shared" ref="E16" si="4">SUM(E14:E15)</f>
        <v>61.5</v>
      </c>
      <c r="F16" s="7">
        <f t="shared" ref="F16" si="5">SUM(F14:F15)</f>
        <v>60</v>
      </c>
    </row>
    <row r="17" spans="1:6" x14ac:dyDescent="0.25">
      <c r="A17" t="s">
        <v>199</v>
      </c>
      <c r="C17" s="5">
        <v>1600</v>
      </c>
      <c r="D17" s="5">
        <v>1500</v>
      </c>
      <c r="E17" s="5">
        <v>400</v>
      </c>
      <c r="F17" s="5">
        <v>600</v>
      </c>
    </row>
    <row r="18" spans="1:6" x14ac:dyDescent="0.25">
      <c r="A18" s="3" t="s">
        <v>200</v>
      </c>
      <c r="B18" s="3"/>
      <c r="C18" s="42">
        <f>C16/C17</f>
        <v>0.14000000000000001</v>
      </c>
      <c r="D18" s="42">
        <f t="shared" ref="D18" si="6">D16/D17</f>
        <v>8.3999999999999991E-2</v>
      </c>
      <c r="E18" s="42">
        <f t="shared" ref="E18" si="7">E16/E17</f>
        <v>0.15375</v>
      </c>
      <c r="F18" s="42">
        <f t="shared" ref="F18" si="8">F16/F17</f>
        <v>0.1</v>
      </c>
    </row>
  </sheetData>
  <mergeCells count="2">
    <mergeCell ref="C4:D4"/>
    <mergeCell ref="E4:F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workbookViewId="0">
      <selection activeCell="L17" sqref="L17"/>
    </sheetView>
  </sheetViews>
  <sheetFormatPr defaultRowHeight="15" x14ac:dyDescent="0.25"/>
  <cols>
    <col min="2" max="2" width="11.28515625" customWidth="1"/>
  </cols>
  <sheetData>
    <row r="2" spans="1:8" x14ac:dyDescent="0.25">
      <c r="A2" s="4" t="s">
        <v>203</v>
      </c>
    </row>
    <row r="4" spans="1:8" x14ac:dyDescent="0.25">
      <c r="A4" s="4" t="s">
        <v>143</v>
      </c>
      <c r="B4" t="s">
        <v>178</v>
      </c>
    </row>
    <row r="6" spans="1:8" ht="45" x14ac:dyDescent="0.25">
      <c r="A6" s="45" t="s">
        <v>204</v>
      </c>
      <c r="B6" s="46" t="s">
        <v>205</v>
      </c>
      <c r="C6" s="46" t="s">
        <v>206</v>
      </c>
      <c r="D6" s="47" t="s">
        <v>207</v>
      </c>
      <c r="E6" s="47" t="s">
        <v>7</v>
      </c>
      <c r="F6" s="47" t="s">
        <v>208</v>
      </c>
      <c r="G6" s="46" t="s">
        <v>209</v>
      </c>
      <c r="H6" s="47" t="s">
        <v>167</v>
      </c>
    </row>
    <row r="7" spans="1:8" x14ac:dyDescent="0.25">
      <c r="A7" s="43">
        <v>1</v>
      </c>
      <c r="B7" s="5">
        <v>640</v>
      </c>
      <c r="C7" s="5">
        <v>240</v>
      </c>
      <c r="D7" s="5">
        <f>640/4</f>
        <v>160</v>
      </c>
      <c r="E7" s="5">
        <f>C7-D7</f>
        <v>80</v>
      </c>
      <c r="F7" s="41">
        <f>E7/B7</f>
        <v>0.125</v>
      </c>
      <c r="G7" s="5">
        <f>B7*0.16</f>
        <v>102.4</v>
      </c>
      <c r="H7" s="5">
        <f>E7-G7</f>
        <v>-22.400000000000006</v>
      </c>
    </row>
    <row r="8" spans="1:8" x14ac:dyDescent="0.25">
      <c r="A8" s="43">
        <v>2</v>
      </c>
      <c r="B8" s="5">
        <f>B7-D7</f>
        <v>480</v>
      </c>
      <c r="C8" s="5">
        <v>240</v>
      </c>
      <c r="D8" s="5">
        <f t="shared" ref="D8:D10" si="0">640/4</f>
        <v>160</v>
      </c>
      <c r="E8" s="5">
        <f t="shared" ref="E8:E10" si="1">C8-D8</f>
        <v>80</v>
      </c>
      <c r="F8" s="41">
        <f t="shared" ref="F8:F10" si="2">E8/B8</f>
        <v>0.16666666666666666</v>
      </c>
      <c r="G8" s="5">
        <f t="shared" ref="G8:G10" si="3">B8*0.16</f>
        <v>76.8</v>
      </c>
      <c r="H8" s="5">
        <f t="shared" ref="H8:H10" si="4">E8-G8</f>
        <v>3.2000000000000028</v>
      </c>
    </row>
    <row r="9" spans="1:8" x14ac:dyDescent="0.25">
      <c r="A9" s="43">
        <v>3</v>
      </c>
      <c r="B9" s="5">
        <f>+B8-D8</f>
        <v>320</v>
      </c>
      <c r="C9" s="5">
        <v>240</v>
      </c>
      <c r="D9" s="5">
        <f t="shared" si="0"/>
        <v>160</v>
      </c>
      <c r="E9" s="5">
        <f t="shared" si="1"/>
        <v>80</v>
      </c>
      <c r="F9" s="44">
        <f t="shared" si="2"/>
        <v>0.25</v>
      </c>
      <c r="G9" s="5">
        <f t="shared" si="3"/>
        <v>51.2</v>
      </c>
      <c r="H9" s="10">
        <f t="shared" si="4"/>
        <v>28.799999999999997</v>
      </c>
    </row>
    <row r="10" spans="1:8" x14ac:dyDescent="0.25">
      <c r="A10" s="43">
        <v>4</v>
      </c>
      <c r="B10" s="5">
        <f>+B9-D9</f>
        <v>160</v>
      </c>
      <c r="C10" s="5">
        <v>240</v>
      </c>
      <c r="D10" s="5">
        <f t="shared" si="0"/>
        <v>160</v>
      </c>
      <c r="E10" s="5">
        <f t="shared" si="1"/>
        <v>80</v>
      </c>
      <c r="F10" s="44">
        <f t="shared" si="2"/>
        <v>0.5</v>
      </c>
      <c r="G10" s="5">
        <f t="shared" si="3"/>
        <v>25.6</v>
      </c>
      <c r="H10" s="10">
        <f t="shared" si="4"/>
        <v>54.4</v>
      </c>
    </row>
    <row r="11" spans="1:8" x14ac:dyDescent="0.25">
      <c r="E11" s="7">
        <f>SUM(E7:E10)</f>
        <v>320</v>
      </c>
      <c r="F11" s="48">
        <f>AVERAGE(F7:F10)</f>
        <v>0.26041666666666663</v>
      </c>
      <c r="G11" s="7">
        <f>SUM(G7:G10)</f>
        <v>255.99999999999997</v>
      </c>
      <c r="H11" s="25">
        <f>E11-G11</f>
        <v>64.000000000000028</v>
      </c>
    </row>
    <row r="12" spans="1:8" x14ac:dyDescent="0.25">
      <c r="A12" s="4" t="s">
        <v>148</v>
      </c>
      <c r="B12" t="s">
        <v>178</v>
      </c>
    </row>
    <row r="14" spans="1:8" ht="45" x14ac:dyDescent="0.25">
      <c r="A14" s="45" t="s">
        <v>204</v>
      </c>
      <c r="B14" s="46" t="s">
        <v>205</v>
      </c>
      <c r="C14" s="46" t="s">
        <v>206</v>
      </c>
      <c r="D14" s="47" t="s">
        <v>207</v>
      </c>
      <c r="E14" s="47" t="s">
        <v>7</v>
      </c>
      <c r="F14" s="47" t="s">
        <v>208</v>
      </c>
      <c r="G14" s="46" t="s">
        <v>209</v>
      </c>
      <c r="H14" s="47" t="s">
        <v>167</v>
      </c>
    </row>
    <row r="15" spans="1:8" x14ac:dyDescent="0.25">
      <c r="A15" s="43">
        <v>1</v>
      </c>
      <c r="B15" s="5">
        <v>520</v>
      </c>
      <c r="C15" s="5">
        <v>260</v>
      </c>
      <c r="D15" s="5">
        <f>520/4</f>
        <v>130</v>
      </c>
      <c r="E15" s="5">
        <f>C15-D15</f>
        <v>130</v>
      </c>
      <c r="F15" s="44">
        <f>E15/B15</f>
        <v>0.25</v>
      </c>
      <c r="G15" s="5">
        <f>+B15*0.16</f>
        <v>83.2</v>
      </c>
      <c r="H15" s="10">
        <f>E15-G15</f>
        <v>46.8</v>
      </c>
    </row>
    <row r="16" spans="1:8" x14ac:dyDescent="0.25">
      <c r="A16" s="43">
        <v>2</v>
      </c>
      <c r="B16" s="5">
        <f>+B15-D15</f>
        <v>390</v>
      </c>
      <c r="C16" s="5">
        <v>220</v>
      </c>
      <c r="D16" s="5">
        <f t="shared" ref="D16:D18" si="5">520/4</f>
        <v>130</v>
      </c>
      <c r="E16" s="5">
        <f t="shared" ref="E16:E18" si="6">C16-D16</f>
        <v>90</v>
      </c>
      <c r="F16" s="44">
        <f t="shared" ref="F16:F18" si="7">E16/B16</f>
        <v>0.23076923076923078</v>
      </c>
      <c r="G16" s="5">
        <f t="shared" ref="G16:G18" si="8">+B16*0.16</f>
        <v>62.4</v>
      </c>
      <c r="H16" s="10">
        <f t="shared" ref="H16:H18" si="9">E16-G16</f>
        <v>27.6</v>
      </c>
    </row>
    <row r="17" spans="1:8" x14ac:dyDescent="0.25">
      <c r="A17" s="43">
        <v>3</v>
      </c>
      <c r="B17" s="5">
        <f>+B16-D16</f>
        <v>260</v>
      </c>
      <c r="C17" s="5">
        <v>150</v>
      </c>
      <c r="D17" s="5">
        <f t="shared" si="5"/>
        <v>130</v>
      </c>
      <c r="E17" s="5">
        <f t="shared" si="6"/>
        <v>20</v>
      </c>
      <c r="F17" s="41">
        <f t="shared" si="7"/>
        <v>7.6923076923076927E-2</v>
      </c>
      <c r="G17" s="5">
        <f t="shared" si="8"/>
        <v>41.6</v>
      </c>
      <c r="H17" s="5">
        <f t="shared" si="9"/>
        <v>-21.6</v>
      </c>
    </row>
    <row r="18" spans="1:8" x14ac:dyDescent="0.25">
      <c r="A18" s="43">
        <v>4</v>
      </c>
      <c r="B18" s="5">
        <f>+B17-D17</f>
        <v>130</v>
      </c>
      <c r="C18" s="5">
        <v>100</v>
      </c>
      <c r="D18" s="5">
        <f t="shared" si="5"/>
        <v>130</v>
      </c>
      <c r="E18" s="5">
        <f t="shared" si="6"/>
        <v>-30</v>
      </c>
      <c r="F18" s="41">
        <f t="shared" si="7"/>
        <v>-0.23076923076923078</v>
      </c>
      <c r="G18" s="5">
        <f t="shared" si="8"/>
        <v>20.8</v>
      </c>
      <c r="H18" s="5">
        <f t="shared" si="9"/>
        <v>-50.8</v>
      </c>
    </row>
    <row r="19" spans="1:8" x14ac:dyDescent="0.25">
      <c r="E19" s="7">
        <f>SUM(E15:E18)</f>
        <v>210</v>
      </c>
      <c r="F19" s="48">
        <f>AVERAGE(F15:F18)</f>
        <v>8.1730769230769232E-2</v>
      </c>
      <c r="G19" s="7">
        <f>SUM(G15:G18)</f>
        <v>208</v>
      </c>
      <c r="H19" s="25">
        <f>E19-G19</f>
        <v>2</v>
      </c>
    </row>
    <row r="21" spans="1:8" x14ac:dyDescent="0.25">
      <c r="A21" s="2" t="s">
        <v>210</v>
      </c>
    </row>
    <row r="23" spans="1:8" x14ac:dyDescent="0.25">
      <c r="A23" t="s">
        <v>211</v>
      </c>
    </row>
    <row r="24" spans="1:8" x14ac:dyDescent="0.25">
      <c r="A24" t="s">
        <v>212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2"/>
  <sheetViews>
    <sheetView workbookViewId="0">
      <selection activeCell="H21" sqref="H21"/>
    </sheetView>
  </sheetViews>
  <sheetFormatPr defaultRowHeight="15" x14ac:dyDescent="0.25"/>
  <cols>
    <col min="1" max="1" width="27.7109375" bestFit="1" customWidth="1"/>
    <col min="2" max="2" width="18.5703125" bestFit="1" customWidth="1"/>
    <col min="3" max="3" width="14.28515625" bestFit="1" customWidth="1"/>
  </cols>
  <sheetData>
    <row r="2" spans="1:3" x14ac:dyDescent="0.25">
      <c r="A2" t="s">
        <v>221</v>
      </c>
    </row>
    <row r="3" spans="1:3" x14ac:dyDescent="0.25">
      <c r="A3" t="s">
        <v>222</v>
      </c>
    </row>
    <row r="4" spans="1:3" x14ac:dyDescent="0.25">
      <c r="A4" s="49" t="s">
        <v>223</v>
      </c>
    </row>
    <row r="5" spans="1:3" x14ac:dyDescent="0.25">
      <c r="A5" s="49" t="s">
        <v>224</v>
      </c>
    </row>
    <row r="6" spans="1:3" x14ac:dyDescent="0.25">
      <c r="A6" s="50" t="s">
        <v>225</v>
      </c>
      <c r="B6" t="s">
        <v>226</v>
      </c>
      <c r="C6" s="51">
        <v>2500</v>
      </c>
    </row>
    <row r="7" spans="1:3" x14ac:dyDescent="0.25">
      <c r="A7" s="50" t="s">
        <v>227</v>
      </c>
      <c r="C7" s="51">
        <v>-2500</v>
      </c>
    </row>
    <row r="8" spans="1:3" x14ac:dyDescent="0.25">
      <c r="A8" s="50" t="s">
        <v>228</v>
      </c>
      <c r="C8" s="51" t="s">
        <v>174</v>
      </c>
    </row>
    <row r="9" spans="1:3" x14ac:dyDescent="0.25">
      <c r="A9" s="49" t="s">
        <v>229</v>
      </c>
      <c r="C9" s="16"/>
    </row>
    <row r="10" spans="1:3" x14ac:dyDescent="0.25">
      <c r="A10" s="50" t="s">
        <v>230</v>
      </c>
      <c r="B10" s="52" t="s">
        <v>231</v>
      </c>
      <c r="C10" s="51">
        <v>25000</v>
      </c>
    </row>
    <row r="11" spans="1:3" x14ac:dyDescent="0.25">
      <c r="A11" s="53" t="s">
        <v>232</v>
      </c>
      <c r="B11" s="2" t="s">
        <v>233</v>
      </c>
      <c r="C11" s="54">
        <f>25000*500</f>
        <v>12500000</v>
      </c>
    </row>
    <row r="13" spans="1:3" x14ac:dyDescent="0.25">
      <c r="A13" s="49" t="s">
        <v>234</v>
      </c>
    </row>
    <row r="14" spans="1:3" x14ac:dyDescent="0.25">
      <c r="A14" s="55" t="s">
        <v>235</v>
      </c>
    </row>
    <row r="15" spans="1:3" x14ac:dyDescent="0.25">
      <c r="A15" s="50" t="s">
        <v>236</v>
      </c>
      <c r="B15" s="52" t="s">
        <v>237</v>
      </c>
      <c r="C15" s="56">
        <v>5000</v>
      </c>
    </row>
    <row r="16" spans="1:3" x14ac:dyDescent="0.25">
      <c r="A16" s="53" t="s">
        <v>219</v>
      </c>
      <c r="B16" s="57" t="s">
        <v>238</v>
      </c>
      <c r="C16" s="58">
        <f>2500*5000</f>
        <v>12500000</v>
      </c>
    </row>
    <row r="18" spans="1:3" x14ac:dyDescent="0.25">
      <c r="A18" s="50" t="s">
        <v>239</v>
      </c>
    </row>
    <row r="20" spans="1:3" x14ac:dyDescent="0.25">
      <c r="A20" s="49" t="s">
        <v>240</v>
      </c>
      <c r="B20" s="59" t="s">
        <v>241</v>
      </c>
    </row>
    <row r="21" spans="1:3" x14ac:dyDescent="0.25">
      <c r="A21" s="50" t="s">
        <v>242</v>
      </c>
      <c r="B21" s="56">
        <v>12500000</v>
      </c>
    </row>
    <row r="22" spans="1:3" x14ac:dyDescent="0.25">
      <c r="A22" s="50" t="s">
        <v>243</v>
      </c>
      <c r="B22" s="56">
        <v>-12500000</v>
      </c>
    </row>
    <row r="23" spans="1:3" x14ac:dyDescent="0.25">
      <c r="A23" s="50" t="s">
        <v>244</v>
      </c>
      <c r="B23" s="50" t="s">
        <v>245</v>
      </c>
    </row>
    <row r="24" spans="1:3" x14ac:dyDescent="0.25">
      <c r="A24" s="50"/>
      <c r="B24" s="50"/>
    </row>
    <row r="25" spans="1:3" x14ac:dyDescent="0.25">
      <c r="A25" s="50"/>
      <c r="B25" s="50"/>
    </row>
    <row r="26" spans="1:3" x14ac:dyDescent="0.25">
      <c r="A26" s="50" t="s">
        <v>190</v>
      </c>
    </row>
    <row r="27" spans="1:3" x14ac:dyDescent="0.25">
      <c r="A27" s="50" t="s">
        <v>246</v>
      </c>
    </row>
    <row r="28" spans="1:3" x14ac:dyDescent="0.25">
      <c r="A28" s="50" t="s">
        <v>16</v>
      </c>
      <c r="C28" s="56">
        <v>22500</v>
      </c>
    </row>
    <row r="29" spans="1:3" x14ac:dyDescent="0.25">
      <c r="A29" s="50" t="s">
        <v>17</v>
      </c>
      <c r="B29" s="52" t="s">
        <v>237</v>
      </c>
      <c r="C29" s="56">
        <v>5000</v>
      </c>
    </row>
    <row r="30" spans="1:3" x14ac:dyDescent="0.25">
      <c r="A30" s="60" t="s">
        <v>247</v>
      </c>
      <c r="B30" s="2"/>
      <c r="C30" s="61">
        <v>27500</v>
      </c>
    </row>
    <row r="32" spans="1:3" x14ac:dyDescent="0.25">
      <c r="A32" s="50" t="s">
        <v>248</v>
      </c>
      <c r="C32" s="56">
        <v>25000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8"/>
  <sheetViews>
    <sheetView workbookViewId="0">
      <selection activeCell="F23" sqref="F23"/>
    </sheetView>
  </sheetViews>
  <sheetFormatPr defaultRowHeight="15" x14ac:dyDescent="0.25"/>
  <cols>
    <col min="1" max="1" width="26.5703125" customWidth="1"/>
    <col min="2" max="2" width="26.140625" customWidth="1"/>
    <col min="3" max="3" width="13.28515625" bestFit="1" customWidth="1"/>
    <col min="5" max="5" width="21.7109375" bestFit="1" customWidth="1"/>
    <col min="6" max="6" width="14.28515625" bestFit="1" customWidth="1"/>
    <col min="11" max="11" width="7" customWidth="1"/>
    <col min="12" max="12" width="13.28515625" bestFit="1" customWidth="1"/>
    <col min="13" max="14" width="14.28515625" bestFit="1" customWidth="1"/>
    <col min="15" max="15" width="15" bestFit="1" customWidth="1"/>
  </cols>
  <sheetData>
    <row r="2" spans="1:15" x14ac:dyDescent="0.25">
      <c r="A2" s="4" t="s">
        <v>326</v>
      </c>
    </row>
    <row r="3" spans="1:15" x14ac:dyDescent="0.25">
      <c r="K3" t="s">
        <v>214</v>
      </c>
      <c r="L3" t="s">
        <v>303</v>
      </c>
      <c r="M3" t="s">
        <v>216</v>
      </c>
      <c r="N3" t="s">
        <v>355</v>
      </c>
      <c r="O3" t="s">
        <v>7</v>
      </c>
    </row>
    <row r="4" spans="1:15" x14ac:dyDescent="0.25">
      <c r="A4" t="s">
        <v>289</v>
      </c>
      <c r="B4" t="s">
        <v>290</v>
      </c>
      <c r="C4" t="s">
        <v>277</v>
      </c>
      <c r="K4" s="5">
        <v>30</v>
      </c>
      <c r="L4" s="5">
        <v>0</v>
      </c>
      <c r="M4" s="5">
        <f>K4*L4</f>
        <v>0</v>
      </c>
      <c r="N4" s="7">
        <f>L4*16.5</f>
        <v>0</v>
      </c>
      <c r="O4" s="7">
        <f>M4-N4</f>
        <v>0</v>
      </c>
    </row>
    <row r="5" spans="1:15" x14ac:dyDescent="0.25">
      <c r="B5" t="s">
        <v>291</v>
      </c>
      <c r="C5" t="s">
        <v>292</v>
      </c>
      <c r="K5" s="5">
        <v>29.5</v>
      </c>
      <c r="L5" s="5">
        <v>100000</v>
      </c>
      <c r="M5" s="5">
        <f t="shared" ref="M5:M19" si="0">K5*L5</f>
        <v>2950000</v>
      </c>
      <c r="N5" s="7">
        <f t="shared" ref="N5:N19" si="1">L5*16.5</f>
        <v>1650000</v>
      </c>
      <c r="O5" s="7">
        <f t="shared" ref="O5:O19" si="2">M5-N5</f>
        <v>1300000</v>
      </c>
    </row>
    <row r="6" spans="1:15" x14ac:dyDescent="0.25">
      <c r="B6" t="s">
        <v>293</v>
      </c>
      <c r="C6" t="s">
        <v>215</v>
      </c>
      <c r="K6" s="5">
        <v>29</v>
      </c>
      <c r="L6" s="5">
        <v>200000</v>
      </c>
      <c r="M6" s="5">
        <f t="shared" si="0"/>
        <v>5800000</v>
      </c>
      <c r="N6" s="7">
        <f t="shared" si="1"/>
        <v>3300000</v>
      </c>
      <c r="O6" s="7">
        <f t="shared" si="2"/>
        <v>2500000</v>
      </c>
    </row>
    <row r="7" spans="1:15" x14ac:dyDescent="0.25">
      <c r="B7" t="s">
        <v>294</v>
      </c>
      <c r="C7" t="s">
        <v>286</v>
      </c>
      <c r="K7" s="5">
        <v>28.5</v>
      </c>
      <c r="L7" s="5">
        <v>300000</v>
      </c>
      <c r="M7" s="5">
        <f t="shared" si="0"/>
        <v>8550000</v>
      </c>
      <c r="N7" s="7">
        <f t="shared" si="1"/>
        <v>4950000</v>
      </c>
      <c r="O7" s="7">
        <f t="shared" si="2"/>
        <v>3600000</v>
      </c>
    </row>
    <row r="8" spans="1:15" x14ac:dyDescent="0.25">
      <c r="K8" s="5">
        <v>28</v>
      </c>
      <c r="L8" s="5">
        <v>400000</v>
      </c>
      <c r="M8" s="5">
        <f t="shared" si="0"/>
        <v>11200000</v>
      </c>
      <c r="N8" s="7">
        <f t="shared" si="1"/>
        <v>6600000</v>
      </c>
      <c r="O8" s="7">
        <f t="shared" si="2"/>
        <v>4600000</v>
      </c>
    </row>
    <row r="9" spans="1:15" x14ac:dyDescent="0.25">
      <c r="A9" t="s">
        <v>294</v>
      </c>
      <c r="B9" t="s">
        <v>286</v>
      </c>
      <c r="K9" s="5">
        <v>27.5</v>
      </c>
      <c r="L9" s="5">
        <v>500000</v>
      </c>
      <c r="M9" s="5">
        <f t="shared" si="0"/>
        <v>13750000</v>
      </c>
      <c r="N9" s="7">
        <f t="shared" si="1"/>
        <v>8250000</v>
      </c>
      <c r="O9" s="7">
        <f t="shared" si="2"/>
        <v>5500000</v>
      </c>
    </row>
    <row r="10" spans="1:15" x14ac:dyDescent="0.25">
      <c r="A10" t="s">
        <v>298</v>
      </c>
      <c r="K10" s="5">
        <v>27</v>
      </c>
      <c r="L10" s="5">
        <v>600000</v>
      </c>
      <c r="M10" s="5">
        <f t="shared" si="0"/>
        <v>16200000</v>
      </c>
      <c r="N10" s="7">
        <f t="shared" si="1"/>
        <v>9900000</v>
      </c>
      <c r="O10" s="7">
        <f t="shared" si="2"/>
        <v>6300000</v>
      </c>
    </row>
    <row r="11" spans="1:15" x14ac:dyDescent="0.25">
      <c r="A11" t="s">
        <v>295</v>
      </c>
      <c r="B11" t="s">
        <v>296</v>
      </c>
      <c r="K11" s="5">
        <v>26.5</v>
      </c>
      <c r="L11" s="5">
        <v>700000</v>
      </c>
      <c r="M11" s="5">
        <f t="shared" si="0"/>
        <v>18550000</v>
      </c>
      <c r="N11" s="7">
        <f t="shared" si="1"/>
        <v>11550000</v>
      </c>
      <c r="O11" s="7">
        <f t="shared" si="2"/>
        <v>7000000</v>
      </c>
    </row>
    <row r="12" spans="1:15" x14ac:dyDescent="0.25">
      <c r="B12" t="s">
        <v>327</v>
      </c>
      <c r="K12" s="5">
        <v>26</v>
      </c>
      <c r="L12" s="5">
        <v>800000</v>
      </c>
      <c r="M12" s="5">
        <f t="shared" si="0"/>
        <v>20800000</v>
      </c>
      <c r="N12" s="7">
        <f t="shared" si="1"/>
        <v>13200000</v>
      </c>
      <c r="O12" s="7">
        <f t="shared" si="2"/>
        <v>7600000</v>
      </c>
    </row>
    <row r="13" spans="1:15" x14ac:dyDescent="0.25">
      <c r="B13">
        <f>0.5/100000</f>
        <v>5.0000000000000004E-6</v>
      </c>
      <c r="K13" s="5">
        <v>25.5</v>
      </c>
      <c r="L13" s="5">
        <v>900000</v>
      </c>
      <c r="M13" s="5">
        <f t="shared" si="0"/>
        <v>22950000</v>
      </c>
      <c r="N13" s="7">
        <f t="shared" si="1"/>
        <v>14850000</v>
      </c>
      <c r="O13" s="7">
        <f t="shared" si="2"/>
        <v>8100000</v>
      </c>
    </row>
    <row r="14" spans="1:15" x14ac:dyDescent="0.25">
      <c r="K14" s="10">
        <v>25</v>
      </c>
      <c r="L14" s="10">
        <v>1000000</v>
      </c>
      <c r="M14" s="10">
        <f t="shared" si="0"/>
        <v>25000000</v>
      </c>
      <c r="N14" s="40">
        <f t="shared" si="1"/>
        <v>16500000</v>
      </c>
      <c r="O14" s="40">
        <f t="shared" si="2"/>
        <v>8500000</v>
      </c>
    </row>
    <row r="15" spans="1:15" x14ac:dyDescent="0.25">
      <c r="A15" t="s">
        <v>299</v>
      </c>
      <c r="K15" s="5">
        <v>24.5</v>
      </c>
      <c r="L15" s="5">
        <v>1100000</v>
      </c>
      <c r="M15" s="5">
        <f t="shared" si="0"/>
        <v>26950000</v>
      </c>
      <c r="N15" s="7">
        <f t="shared" si="1"/>
        <v>18150000</v>
      </c>
      <c r="O15" s="7">
        <f t="shared" si="2"/>
        <v>8800000</v>
      </c>
    </row>
    <row r="16" spans="1:15" x14ac:dyDescent="0.25">
      <c r="A16" t="s">
        <v>294</v>
      </c>
      <c r="B16" t="s">
        <v>286</v>
      </c>
      <c r="K16" s="5">
        <v>24</v>
      </c>
      <c r="L16" s="5">
        <v>1200000</v>
      </c>
      <c r="M16" s="5">
        <f t="shared" si="0"/>
        <v>28800000</v>
      </c>
      <c r="N16" s="7">
        <f t="shared" si="1"/>
        <v>19800000</v>
      </c>
      <c r="O16" s="7">
        <f t="shared" si="2"/>
        <v>9000000</v>
      </c>
    </row>
    <row r="17" spans="1:15" x14ac:dyDescent="0.25">
      <c r="A17" t="s">
        <v>328</v>
      </c>
      <c r="B17" t="s">
        <v>329</v>
      </c>
      <c r="K17" s="24">
        <v>23.5</v>
      </c>
      <c r="L17" s="24">
        <v>1300000</v>
      </c>
      <c r="M17" s="24">
        <f t="shared" si="0"/>
        <v>30550000</v>
      </c>
      <c r="N17" s="25">
        <f t="shared" si="1"/>
        <v>21450000</v>
      </c>
      <c r="O17" s="25">
        <f t="shared" si="2"/>
        <v>9100000</v>
      </c>
    </row>
    <row r="18" spans="1:15" x14ac:dyDescent="0.25">
      <c r="A18" t="s">
        <v>328</v>
      </c>
      <c r="B18" t="s">
        <v>330</v>
      </c>
      <c r="C18">
        <f>0.5/100000*1000000</f>
        <v>5</v>
      </c>
      <c r="K18" s="24">
        <v>23</v>
      </c>
      <c r="L18" s="24">
        <v>1400000</v>
      </c>
      <c r="M18" s="24">
        <f t="shared" si="0"/>
        <v>32200000</v>
      </c>
      <c r="N18" s="25">
        <f t="shared" si="1"/>
        <v>23100000</v>
      </c>
      <c r="O18" s="25">
        <f t="shared" si="2"/>
        <v>9100000</v>
      </c>
    </row>
    <row r="19" spans="1:15" x14ac:dyDescent="0.25">
      <c r="A19" t="s">
        <v>331</v>
      </c>
      <c r="B19" t="s">
        <v>213</v>
      </c>
      <c r="K19" s="5">
        <v>22.5</v>
      </c>
      <c r="L19" s="5">
        <v>1500000</v>
      </c>
      <c r="M19" s="5">
        <f t="shared" si="0"/>
        <v>33750000</v>
      </c>
      <c r="N19" s="7">
        <f t="shared" si="1"/>
        <v>24750000</v>
      </c>
      <c r="O19" s="7">
        <f t="shared" si="2"/>
        <v>9000000</v>
      </c>
    </row>
    <row r="20" spans="1:15" x14ac:dyDescent="0.25">
      <c r="A20" t="s">
        <v>332</v>
      </c>
      <c r="B20" s="5">
        <v>30</v>
      </c>
      <c r="K20" s="5">
        <v>22</v>
      </c>
      <c r="L20" s="5">
        <v>1600000</v>
      </c>
      <c r="M20" s="5">
        <f t="shared" ref="M20:M44" si="3">K20*L20</f>
        <v>35200000</v>
      </c>
      <c r="N20" s="7">
        <f t="shared" ref="N20:N44" si="4">L20*16.5</f>
        <v>26400000</v>
      </c>
      <c r="O20" s="7">
        <f t="shared" ref="O20:O44" si="5">M20-N20</f>
        <v>8800000</v>
      </c>
    </row>
    <row r="21" spans="1:15" x14ac:dyDescent="0.25">
      <c r="K21" s="5">
        <v>21.5</v>
      </c>
      <c r="L21" s="5">
        <v>1700000</v>
      </c>
      <c r="M21" s="5">
        <f t="shared" si="3"/>
        <v>36550000</v>
      </c>
      <c r="N21" s="7">
        <f t="shared" si="4"/>
        <v>28050000</v>
      </c>
      <c r="O21" s="7">
        <f t="shared" si="5"/>
        <v>8500000</v>
      </c>
    </row>
    <row r="22" spans="1:15" x14ac:dyDescent="0.25">
      <c r="A22" t="s">
        <v>294</v>
      </c>
      <c r="B22" t="s">
        <v>333</v>
      </c>
      <c r="K22" s="5">
        <v>21</v>
      </c>
      <c r="L22" s="5">
        <v>1800000</v>
      </c>
      <c r="M22" s="5">
        <f t="shared" si="3"/>
        <v>37800000</v>
      </c>
      <c r="N22" s="7">
        <f t="shared" si="4"/>
        <v>29700000</v>
      </c>
      <c r="O22" s="7">
        <f t="shared" si="5"/>
        <v>8100000</v>
      </c>
    </row>
    <row r="23" spans="1:15" x14ac:dyDescent="0.25">
      <c r="A23" t="s">
        <v>334</v>
      </c>
      <c r="B23" t="s">
        <v>335</v>
      </c>
      <c r="K23" s="5">
        <v>20.5</v>
      </c>
      <c r="L23" s="5">
        <v>1900000</v>
      </c>
      <c r="M23" s="5">
        <f t="shared" si="3"/>
        <v>38950000</v>
      </c>
      <c r="N23" s="7">
        <f t="shared" si="4"/>
        <v>31350000</v>
      </c>
      <c r="O23" s="7">
        <f t="shared" si="5"/>
        <v>7600000</v>
      </c>
    </row>
    <row r="24" spans="1:15" x14ac:dyDescent="0.25">
      <c r="B24" t="s">
        <v>336</v>
      </c>
      <c r="K24" s="5">
        <v>20</v>
      </c>
      <c r="L24" s="5">
        <v>2000000</v>
      </c>
      <c r="M24" s="5">
        <f t="shared" si="3"/>
        <v>40000000</v>
      </c>
      <c r="N24" s="7">
        <f t="shared" si="4"/>
        <v>33000000</v>
      </c>
      <c r="O24" s="7">
        <f t="shared" si="5"/>
        <v>7000000</v>
      </c>
    </row>
    <row r="25" spans="1:15" x14ac:dyDescent="0.25">
      <c r="A25" t="s">
        <v>337</v>
      </c>
      <c r="B25" t="s">
        <v>307</v>
      </c>
      <c r="K25" s="5">
        <v>19.5</v>
      </c>
      <c r="L25" s="5">
        <v>2100000</v>
      </c>
      <c r="M25" s="5">
        <f t="shared" si="3"/>
        <v>40950000</v>
      </c>
      <c r="N25" s="7">
        <f t="shared" si="4"/>
        <v>34650000</v>
      </c>
      <c r="O25" s="7">
        <f t="shared" si="5"/>
        <v>6300000</v>
      </c>
    </row>
    <row r="26" spans="1:15" x14ac:dyDescent="0.25">
      <c r="B26" t="s">
        <v>338</v>
      </c>
      <c r="K26" s="5">
        <v>19</v>
      </c>
      <c r="L26" s="5">
        <v>2200000</v>
      </c>
      <c r="M26" s="5">
        <f t="shared" si="3"/>
        <v>41800000</v>
      </c>
      <c r="N26" s="7">
        <f t="shared" si="4"/>
        <v>36300000</v>
      </c>
      <c r="O26" s="7">
        <f t="shared" si="5"/>
        <v>5500000</v>
      </c>
    </row>
    <row r="27" spans="1:15" x14ac:dyDescent="0.25">
      <c r="B27" t="s">
        <v>339</v>
      </c>
      <c r="K27" s="5">
        <v>18.5</v>
      </c>
      <c r="L27" s="5">
        <v>2300000</v>
      </c>
      <c r="M27" s="5">
        <f t="shared" si="3"/>
        <v>42550000</v>
      </c>
      <c r="N27" s="7">
        <f t="shared" si="4"/>
        <v>37950000</v>
      </c>
      <c r="O27" s="7">
        <f t="shared" si="5"/>
        <v>4600000</v>
      </c>
    </row>
    <row r="28" spans="1:15" x14ac:dyDescent="0.25">
      <c r="B28" t="s">
        <v>340</v>
      </c>
      <c r="K28" s="5">
        <v>18</v>
      </c>
      <c r="L28" s="5">
        <v>2400000</v>
      </c>
      <c r="M28" s="5">
        <f t="shared" si="3"/>
        <v>43200000</v>
      </c>
      <c r="N28" s="7">
        <f t="shared" si="4"/>
        <v>39600000</v>
      </c>
      <c r="O28" s="7">
        <f t="shared" si="5"/>
        <v>3600000</v>
      </c>
    </row>
    <row r="29" spans="1:15" x14ac:dyDescent="0.25">
      <c r="B29" t="s">
        <v>341</v>
      </c>
      <c r="K29" s="5">
        <v>17.5</v>
      </c>
      <c r="L29" s="5">
        <v>2500000</v>
      </c>
      <c r="M29" s="5">
        <f t="shared" si="3"/>
        <v>43750000</v>
      </c>
      <c r="N29" s="7">
        <f t="shared" si="4"/>
        <v>41250000</v>
      </c>
      <c r="O29" s="7">
        <f t="shared" si="5"/>
        <v>2500000</v>
      </c>
    </row>
    <row r="30" spans="1:15" x14ac:dyDescent="0.25">
      <c r="B30" t="s">
        <v>342</v>
      </c>
      <c r="K30" s="5">
        <v>17</v>
      </c>
      <c r="L30" s="5">
        <v>2600000</v>
      </c>
      <c r="M30" s="5">
        <f t="shared" si="3"/>
        <v>44200000</v>
      </c>
      <c r="N30" s="7">
        <f t="shared" si="4"/>
        <v>42900000</v>
      </c>
      <c r="O30" s="7">
        <f t="shared" si="5"/>
        <v>1300000</v>
      </c>
    </row>
    <row r="31" spans="1:15" x14ac:dyDescent="0.25">
      <c r="K31" s="24">
        <v>16.5</v>
      </c>
      <c r="L31" s="24">
        <v>2700000</v>
      </c>
      <c r="M31" s="24">
        <f t="shared" si="3"/>
        <v>44550000</v>
      </c>
      <c r="N31" s="25">
        <f t="shared" si="4"/>
        <v>44550000</v>
      </c>
      <c r="O31" s="25">
        <f t="shared" si="5"/>
        <v>0</v>
      </c>
    </row>
    <row r="32" spans="1:15" x14ac:dyDescent="0.25">
      <c r="A32" t="s">
        <v>313</v>
      </c>
      <c r="B32" t="s">
        <v>314</v>
      </c>
      <c r="E32" t="s">
        <v>344</v>
      </c>
      <c r="K32" s="5">
        <v>16</v>
      </c>
      <c r="L32" s="5">
        <v>2800000</v>
      </c>
      <c r="M32" s="5">
        <f t="shared" si="3"/>
        <v>44800000</v>
      </c>
      <c r="N32" s="7">
        <f t="shared" si="4"/>
        <v>46200000</v>
      </c>
      <c r="O32" s="7">
        <f t="shared" si="5"/>
        <v>-1400000</v>
      </c>
    </row>
    <row r="33" spans="1:15" x14ac:dyDescent="0.25">
      <c r="B33" t="s">
        <v>343</v>
      </c>
      <c r="E33" t="s">
        <v>345</v>
      </c>
      <c r="F33" s="5">
        <v>10000000</v>
      </c>
      <c r="K33" s="5">
        <v>15.5</v>
      </c>
      <c r="L33" s="5">
        <v>2900000</v>
      </c>
      <c r="M33" s="5">
        <f t="shared" si="3"/>
        <v>44950000</v>
      </c>
      <c r="N33" s="7">
        <f t="shared" si="4"/>
        <v>47850000</v>
      </c>
      <c r="O33" s="7">
        <f t="shared" si="5"/>
        <v>-2900000</v>
      </c>
    </row>
    <row r="34" spans="1:15" x14ac:dyDescent="0.25">
      <c r="B34" t="s">
        <v>351</v>
      </c>
      <c r="E34" t="s">
        <v>346</v>
      </c>
      <c r="F34" s="5">
        <v>2000000</v>
      </c>
      <c r="K34" s="5">
        <v>15</v>
      </c>
      <c r="L34" s="5">
        <v>3000000</v>
      </c>
      <c r="M34" s="5">
        <f t="shared" si="3"/>
        <v>45000000</v>
      </c>
      <c r="N34" s="7">
        <f t="shared" si="4"/>
        <v>49500000</v>
      </c>
      <c r="O34" s="7">
        <f t="shared" si="5"/>
        <v>-4500000</v>
      </c>
    </row>
    <row r="35" spans="1:15" x14ac:dyDescent="0.25">
      <c r="B35" t="s">
        <v>352</v>
      </c>
      <c r="E35" t="s">
        <v>347</v>
      </c>
      <c r="F35" s="5">
        <v>500000</v>
      </c>
      <c r="K35" s="5">
        <v>14.5</v>
      </c>
      <c r="L35" s="5">
        <v>3100000</v>
      </c>
      <c r="M35" s="5">
        <f t="shared" si="3"/>
        <v>44950000</v>
      </c>
      <c r="N35" s="7">
        <f t="shared" si="4"/>
        <v>51150000</v>
      </c>
      <c r="O35" s="7">
        <f t="shared" si="5"/>
        <v>-6200000</v>
      </c>
    </row>
    <row r="36" spans="1:15" x14ac:dyDescent="0.25">
      <c r="B36" t="s">
        <v>353</v>
      </c>
      <c r="E36" t="s">
        <v>348</v>
      </c>
      <c r="F36" s="5">
        <v>1500000</v>
      </c>
      <c r="K36" s="5">
        <v>14</v>
      </c>
      <c r="L36" s="5">
        <v>3200000</v>
      </c>
      <c r="M36" s="5">
        <f t="shared" si="3"/>
        <v>44800000</v>
      </c>
      <c r="N36" s="7">
        <f t="shared" si="4"/>
        <v>52800000</v>
      </c>
      <c r="O36" s="7">
        <f t="shared" si="5"/>
        <v>-8000000</v>
      </c>
    </row>
    <row r="37" spans="1:15" x14ac:dyDescent="0.25">
      <c r="B37" t="s">
        <v>354</v>
      </c>
      <c r="C37" s="5">
        <f>13.5/0.00001</f>
        <v>1350000</v>
      </c>
      <c r="E37" t="s">
        <v>349</v>
      </c>
      <c r="F37" s="5">
        <v>2500000</v>
      </c>
      <c r="K37" s="5">
        <v>13.5</v>
      </c>
      <c r="L37" s="5">
        <v>3300000</v>
      </c>
      <c r="M37" s="5">
        <f t="shared" si="3"/>
        <v>44550000</v>
      </c>
      <c r="N37" s="7">
        <f t="shared" si="4"/>
        <v>54450000</v>
      </c>
      <c r="O37" s="7">
        <f t="shared" si="5"/>
        <v>-9900000</v>
      </c>
    </row>
    <row r="38" spans="1:15" x14ac:dyDescent="0.25">
      <c r="F38" s="63">
        <f>SUM(F33:F37)</f>
        <v>16500000</v>
      </c>
      <c r="K38" s="5">
        <v>13</v>
      </c>
      <c r="L38" s="5">
        <v>3400000</v>
      </c>
      <c r="M38" s="5">
        <f t="shared" si="3"/>
        <v>44200000</v>
      </c>
      <c r="N38" s="7">
        <f t="shared" si="4"/>
        <v>56100000</v>
      </c>
      <c r="O38" s="7">
        <f t="shared" si="5"/>
        <v>-11900000</v>
      </c>
    </row>
    <row r="39" spans="1:15" x14ac:dyDescent="0.25">
      <c r="A39" t="s">
        <v>294</v>
      </c>
      <c r="B39" t="s">
        <v>333</v>
      </c>
      <c r="F39" s="66">
        <v>1000000</v>
      </c>
      <c r="K39" s="5">
        <v>12.5</v>
      </c>
      <c r="L39" s="5">
        <v>3500000</v>
      </c>
      <c r="M39" s="5">
        <f t="shared" si="3"/>
        <v>43750000</v>
      </c>
      <c r="N39" s="7">
        <f t="shared" si="4"/>
        <v>57750000</v>
      </c>
      <c r="O39" s="7">
        <f t="shared" si="5"/>
        <v>-14000000</v>
      </c>
    </row>
    <row r="40" spans="1:15" x14ac:dyDescent="0.25">
      <c r="A40" t="s">
        <v>294</v>
      </c>
      <c r="B40" t="s">
        <v>217</v>
      </c>
      <c r="E40" t="s">
        <v>350</v>
      </c>
      <c r="F40" s="5">
        <f>F38/F39</f>
        <v>16.5</v>
      </c>
      <c r="K40" s="5">
        <v>12</v>
      </c>
      <c r="L40" s="5">
        <v>3600000</v>
      </c>
      <c r="M40" s="5">
        <f t="shared" si="3"/>
        <v>43200000</v>
      </c>
      <c r="N40" s="7">
        <f t="shared" si="4"/>
        <v>59400000</v>
      </c>
      <c r="O40" s="7">
        <f t="shared" si="5"/>
        <v>-16200000</v>
      </c>
    </row>
    <row r="41" spans="1:15" x14ac:dyDescent="0.25">
      <c r="B41" t="s">
        <v>218</v>
      </c>
      <c r="C41">
        <f>+C37*0.000005</f>
        <v>6.7500000000000009</v>
      </c>
      <c r="K41" s="5">
        <v>11.5</v>
      </c>
      <c r="L41" s="5">
        <v>3700000</v>
      </c>
      <c r="M41" s="5">
        <f t="shared" si="3"/>
        <v>42550000</v>
      </c>
      <c r="N41" s="7">
        <f t="shared" si="4"/>
        <v>61050000</v>
      </c>
      <c r="O41" s="7">
        <f t="shared" si="5"/>
        <v>-18500000</v>
      </c>
    </row>
    <row r="42" spans="1:15" ht="15.75" thickBot="1" x14ac:dyDescent="0.3">
      <c r="B42" s="65">
        <f>30-6.75</f>
        <v>23.25</v>
      </c>
      <c r="K42" s="5">
        <v>11</v>
      </c>
      <c r="L42" s="5">
        <v>3800000</v>
      </c>
      <c r="M42" s="5">
        <f t="shared" si="3"/>
        <v>41800000</v>
      </c>
      <c r="N42" s="7">
        <f t="shared" si="4"/>
        <v>62700000</v>
      </c>
      <c r="O42" s="7">
        <f t="shared" si="5"/>
        <v>-20900000</v>
      </c>
    </row>
    <row r="43" spans="1:15" ht="15.75" thickTop="1" x14ac:dyDescent="0.25">
      <c r="K43" s="5">
        <v>10.5</v>
      </c>
      <c r="L43" s="5">
        <v>3900000</v>
      </c>
      <c r="M43" s="5">
        <f t="shared" si="3"/>
        <v>40950000</v>
      </c>
      <c r="N43" s="7">
        <f t="shared" si="4"/>
        <v>64350000</v>
      </c>
      <c r="O43" s="7">
        <f t="shared" si="5"/>
        <v>-23400000</v>
      </c>
    </row>
    <row r="44" spans="1:15" x14ac:dyDescent="0.25">
      <c r="K44" s="5">
        <v>10</v>
      </c>
      <c r="L44" s="5">
        <v>4000000</v>
      </c>
      <c r="M44" s="5">
        <f t="shared" si="3"/>
        <v>40000000</v>
      </c>
      <c r="N44" s="7">
        <f t="shared" si="4"/>
        <v>66000000</v>
      </c>
      <c r="O44" s="7">
        <f t="shared" si="5"/>
        <v>-26000000</v>
      </c>
    </row>
    <row r="45" spans="1:15" x14ac:dyDescent="0.25">
      <c r="K45" s="5">
        <v>9.5</v>
      </c>
      <c r="L45" s="5">
        <v>4100000</v>
      </c>
      <c r="M45" s="5">
        <f t="shared" ref="M45:M64" si="6">K45*L45</f>
        <v>38950000</v>
      </c>
      <c r="N45" s="7">
        <f t="shared" ref="N45:N64" si="7">L45*16.5</f>
        <v>67650000</v>
      </c>
      <c r="O45" s="7">
        <f t="shared" ref="O45:O64" si="8">M45-N45</f>
        <v>-28700000</v>
      </c>
    </row>
    <row r="46" spans="1:15" x14ac:dyDescent="0.25">
      <c r="K46" s="5">
        <v>9</v>
      </c>
      <c r="L46" s="5">
        <v>4200000</v>
      </c>
      <c r="M46" s="5">
        <f t="shared" si="6"/>
        <v>37800000</v>
      </c>
      <c r="N46" s="7">
        <f t="shared" si="7"/>
        <v>69300000</v>
      </c>
      <c r="O46" s="7">
        <f t="shared" si="8"/>
        <v>-31500000</v>
      </c>
    </row>
    <row r="47" spans="1:15" x14ac:dyDescent="0.25">
      <c r="K47" s="5">
        <v>8.5</v>
      </c>
      <c r="L47" s="5">
        <v>4300000</v>
      </c>
      <c r="M47" s="5">
        <f t="shared" si="6"/>
        <v>36550000</v>
      </c>
      <c r="N47" s="7">
        <f t="shared" si="7"/>
        <v>70950000</v>
      </c>
      <c r="O47" s="7">
        <f t="shared" si="8"/>
        <v>-34400000</v>
      </c>
    </row>
    <row r="48" spans="1:15" x14ac:dyDescent="0.25">
      <c r="K48" s="5">
        <v>8</v>
      </c>
      <c r="L48" s="5">
        <v>4400000</v>
      </c>
      <c r="M48" s="5">
        <f t="shared" si="6"/>
        <v>35200000</v>
      </c>
      <c r="N48" s="7">
        <f t="shared" si="7"/>
        <v>72600000</v>
      </c>
      <c r="O48" s="7">
        <f t="shared" si="8"/>
        <v>-37400000</v>
      </c>
    </row>
    <row r="49" spans="11:15" x14ac:dyDescent="0.25">
      <c r="K49" s="5">
        <v>7.5</v>
      </c>
      <c r="L49" s="5">
        <v>4500000</v>
      </c>
      <c r="M49" s="5">
        <f t="shared" si="6"/>
        <v>33750000</v>
      </c>
      <c r="N49" s="7">
        <f t="shared" si="7"/>
        <v>74250000</v>
      </c>
      <c r="O49" s="7">
        <f t="shared" si="8"/>
        <v>-40500000</v>
      </c>
    </row>
    <row r="50" spans="11:15" x14ac:dyDescent="0.25">
      <c r="K50" s="5">
        <v>7</v>
      </c>
      <c r="L50" s="5">
        <v>4600000</v>
      </c>
      <c r="M50" s="5">
        <f t="shared" si="6"/>
        <v>32200000</v>
      </c>
      <c r="N50" s="7">
        <f t="shared" si="7"/>
        <v>75900000</v>
      </c>
      <c r="O50" s="7">
        <f t="shared" si="8"/>
        <v>-43700000</v>
      </c>
    </row>
    <row r="51" spans="11:15" x14ac:dyDescent="0.25">
      <c r="K51" s="5">
        <v>6.5</v>
      </c>
      <c r="L51" s="5">
        <v>4700000</v>
      </c>
      <c r="M51" s="5">
        <f t="shared" si="6"/>
        <v>30550000</v>
      </c>
      <c r="N51" s="7">
        <f t="shared" si="7"/>
        <v>77550000</v>
      </c>
      <c r="O51" s="7">
        <f t="shared" si="8"/>
        <v>-47000000</v>
      </c>
    </row>
    <row r="52" spans="11:15" x14ac:dyDescent="0.25">
      <c r="K52" s="5">
        <v>6</v>
      </c>
      <c r="L52" s="5">
        <v>4800000</v>
      </c>
      <c r="M52" s="5">
        <f t="shared" si="6"/>
        <v>28800000</v>
      </c>
      <c r="N52" s="7">
        <f t="shared" si="7"/>
        <v>79200000</v>
      </c>
      <c r="O52" s="7">
        <f t="shared" si="8"/>
        <v>-50400000</v>
      </c>
    </row>
    <row r="53" spans="11:15" x14ac:dyDescent="0.25">
      <c r="K53" s="5">
        <v>5.5</v>
      </c>
      <c r="L53" s="5">
        <v>4900000</v>
      </c>
      <c r="M53" s="5">
        <f t="shared" si="6"/>
        <v>26950000</v>
      </c>
      <c r="N53" s="7">
        <f t="shared" si="7"/>
        <v>80850000</v>
      </c>
      <c r="O53" s="7">
        <f t="shared" si="8"/>
        <v>-53900000</v>
      </c>
    </row>
    <row r="54" spans="11:15" x14ac:dyDescent="0.25">
      <c r="K54" s="5">
        <v>5</v>
      </c>
      <c r="L54" s="5">
        <v>5000000</v>
      </c>
      <c r="M54" s="5">
        <f t="shared" si="6"/>
        <v>25000000</v>
      </c>
      <c r="N54" s="7">
        <f t="shared" si="7"/>
        <v>82500000</v>
      </c>
      <c r="O54" s="7">
        <f t="shared" si="8"/>
        <v>-57500000</v>
      </c>
    </row>
    <row r="55" spans="11:15" x14ac:dyDescent="0.25">
      <c r="K55" s="5">
        <v>4.5</v>
      </c>
      <c r="L55" s="5">
        <v>5100000</v>
      </c>
      <c r="M55" s="5">
        <f t="shared" si="6"/>
        <v>22950000</v>
      </c>
      <c r="N55" s="7">
        <f t="shared" si="7"/>
        <v>84150000</v>
      </c>
      <c r="O55" s="7">
        <f t="shared" si="8"/>
        <v>-61200000</v>
      </c>
    </row>
    <row r="56" spans="11:15" x14ac:dyDescent="0.25">
      <c r="K56" s="5">
        <v>4</v>
      </c>
      <c r="L56" s="5">
        <v>5200000</v>
      </c>
      <c r="M56" s="5">
        <f t="shared" si="6"/>
        <v>20800000</v>
      </c>
      <c r="N56" s="7">
        <f t="shared" si="7"/>
        <v>85800000</v>
      </c>
      <c r="O56" s="7">
        <f t="shared" si="8"/>
        <v>-65000000</v>
      </c>
    </row>
    <row r="57" spans="11:15" x14ac:dyDescent="0.25">
      <c r="K57" s="5">
        <v>3.5</v>
      </c>
      <c r="L57" s="5">
        <v>5300000</v>
      </c>
      <c r="M57" s="5">
        <f t="shared" si="6"/>
        <v>18550000</v>
      </c>
      <c r="N57" s="7">
        <f t="shared" si="7"/>
        <v>87450000</v>
      </c>
      <c r="O57" s="7">
        <f t="shared" si="8"/>
        <v>-68900000</v>
      </c>
    </row>
    <row r="58" spans="11:15" x14ac:dyDescent="0.25">
      <c r="K58" s="5">
        <v>3</v>
      </c>
      <c r="L58" s="5">
        <v>5400000</v>
      </c>
      <c r="M58" s="5">
        <f t="shared" si="6"/>
        <v>16200000</v>
      </c>
      <c r="N58" s="7">
        <f t="shared" si="7"/>
        <v>89100000</v>
      </c>
      <c r="O58" s="7">
        <f t="shared" si="8"/>
        <v>-72900000</v>
      </c>
    </row>
    <row r="59" spans="11:15" x14ac:dyDescent="0.25">
      <c r="K59" s="5">
        <v>2.5</v>
      </c>
      <c r="L59" s="5">
        <v>5500000</v>
      </c>
      <c r="M59" s="5">
        <f t="shared" si="6"/>
        <v>13750000</v>
      </c>
      <c r="N59" s="7">
        <f t="shared" si="7"/>
        <v>90750000</v>
      </c>
      <c r="O59" s="7">
        <f t="shared" si="8"/>
        <v>-77000000</v>
      </c>
    </row>
    <row r="60" spans="11:15" x14ac:dyDescent="0.25">
      <c r="K60" s="5">
        <v>2</v>
      </c>
      <c r="L60" s="5">
        <v>5600000</v>
      </c>
      <c r="M60" s="5">
        <f t="shared" si="6"/>
        <v>11200000</v>
      </c>
      <c r="N60" s="7">
        <f t="shared" si="7"/>
        <v>92400000</v>
      </c>
      <c r="O60" s="7">
        <f t="shared" si="8"/>
        <v>-81200000</v>
      </c>
    </row>
    <row r="61" spans="11:15" x14ac:dyDescent="0.25">
      <c r="K61" s="5">
        <v>1.5</v>
      </c>
      <c r="L61" s="5">
        <v>5700000</v>
      </c>
      <c r="M61" s="5">
        <f t="shared" si="6"/>
        <v>8550000</v>
      </c>
      <c r="N61" s="7">
        <f t="shared" si="7"/>
        <v>94050000</v>
      </c>
      <c r="O61" s="7">
        <f t="shared" si="8"/>
        <v>-85500000</v>
      </c>
    </row>
    <row r="62" spans="11:15" x14ac:dyDescent="0.25">
      <c r="K62" s="5">
        <v>1</v>
      </c>
      <c r="L62" s="5">
        <v>5800000</v>
      </c>
      <c r="M62" s="5">
        <f t="shared" si="6"/>
        <v>5800000</v>
      </c>
      <c r="N62" s="7">
        <f t="shared" si="7"/>
        <v>95700000</v>
      </c>
      <c r="O62" s="7">
        <f t="shared" si="8"/>
        <v>-89900000</v>
      </c>
    </row>
    <row r="63" spans="11:15" x14ac:dyDescent="0.25">
      <c r="K63" s="5">
        <v>0.5</v>
      </c>
      <c r="L63" s="5">
        <v>5900000</v>
      </c>
      <c r="M63" s="5">
        <f t="shared" si="6"/>
        <v>2950000</v>
      </c>
      <c r="N63" s="7">
        <f t="shared" si="7"/>
        <v>97350000</v>
      </c>
      <c r="O63" s="7">
        <f t="shared" si="8"/>
        <v>-94400000</v>
      </c>
    </row>
    <row r="64" spans="11:15" x14ac:dyDescent="0.25">
      <c r="K64" s="5">
        <v>0</v>
      </c>
      <c r="L64" s="5">
        <v>6000000</v>
      </c>
      <c r="M64" s="5">
        <f t="shared" si="6"/>
        <v>0</v>
      </c>
      <c r="N64" s="7">
        <f t="shared" si="7"/>
        <v>99000000</v>
      </c>
      <c r="O64" s="7">
        <f t="shared" si="8"/>
        <v>-99000000</v>
      </c>
    </row>
    <row r="65" spans="11:15" x14ac:dyDescent="0.25">
      <c r="K65" s="5"/>
      <c r="L65" s="5"/>
      <c r="M65" s="5"/>
      <c r="N65" s="7"/>
      <c r="O65" s="7"/>
    </row>
    <row r="66" spans="11:15" x14ac:dyDescent="0.25">
      <c r="K66" s="5"/>
      <c r="L66" s="5"/>
      <c r="M66" s="5"/>
      <c r="N66" s="7"/>
      <c r="O66" s="7"/>
    </row>
    <row r="67" spans="11:15" x14ac:dyDescent="0.25">
      <c r="K67" s="5"/>
      <c r="L67" s="5"/>
      <c r="M67" s="5"/>
      <c r="N67" s="7"/>
      <c r="O67" s="7"/>
    </row>
    <row r="68" spans="11:15" x14ac:dyDescent="0.25">
      <c r="K68" s="5"/>
      <c r="L68" s="5"/>
      <c r="M68" s="5"/>
      <c r="N68" s="7"/>
      <c r="O68" s="7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49"/>
  <sheetViews>
    <sheetView tabSelected="1" workbookViewId="0">
      <selection activeCell="F22" sqref="F22"/>
    </sheetView>
  </sheetViews>
  <sheetFormatPr defaultRowHeight="15" x14ac:dyDescent="0.25"/>
  <cols>
    <col min="1" max="1" width="21.5703125" bestFit="1" customWidth="1"/>
    <col min="2" max="2" width="20.28515625" bestFit="1" customWidth="1"/>
    <col min="3" max="3" width="15" bestFit="1" customWidth="1"/>
    <col min="4" max="4" width="19.7109375" bestFit="1" customWidth="1"/>
    <col min="5" max="6" width="16" bestFit="1" customWidth="1"/>
    <col min="7" max="7" width="10" customWidth="1"/>
    <col min="9" max="9" width="17.42578125" bestFit="1" customWidth="1"/>
    <col min="12" max="12" width="11.5703125" bestFit="1" customWidth="1"/>
  </cols>
  <sheetData>
    <row r="3" spans="1:9" x14ac:dyDescent="0.25">
      <c r="A3" s="4" t="s">
        <v>249</v>
      </c>
    </row>
    <row r="4" spans="1:9" x14ac:dyDescent="0.25">
      <c r="A4" s="4"/>
    </row>
    <row r="5" spans="1:9" x14ac:dyDescent="0.25">
      <c r="D5" t="s">
        <v>250</v>
      </c>
    </row>
    <row r="6" spans="1:9" x14ac:dyDescent="0.25">
      <c r="D6" t="s">
        <v>251</v>
      </c>
    </row>
    <row r="8" spans="1:9" x14ac:dyDescent="0.25">
      <c r="B8" s="5"/>
    </row>
    <row r="9" spans="1:9" x14ac:dyDescent="0.25">
      <c r="B9" s="1"/>
      <c r="F9" s="5"/>
      <c r="I9" t="s">
        <v>2</v>
      </c>
    </row>
    <row r="10" spans="1:9" x14ac:dyDescent="0.25">
      <c r="I10" s="5">
        <v>150000</v>
      </c>
    </row>
    <row r="12" spans="1:9" x14ac:dyDescent="0.25">
      <c r="G12" s="5"/>
    </row>
    <row r="13" spans="1:9" x14ac:dyDescent="0.25">
      <c r="A13" s="1"/>
      <c r="G13" s="5"/>
    </row>
    <row r="14" spans="1:9" x14ac:dyDescent="0.25">
      <c r="G14" s="5"/>
    </row>
    <row r="16" spans="1:9" x14ac:dyDescent="0.25">
      <c r="B16" s="2"/>
      <c r="C16" t="s">
        <v>12</v>
      </c>
      <c r="G16" t="s">
        <v>13</v>
      </c>
    </row>
    <row r="17" spans="1:12" x14ac:dyDescent="0.25">
      <c r="B17" s="2" t="s">
        <v>23</v>
      </c>
      <c r="C17" s="62">
        <v>35000</v>
      </c>
      <c r="F17" t="s">
        <v>23</v>
      </c>
      <c r="G17" s="62">
        <v>135000</v>
      </c>
      <c r="H17" t="s">
        <v>252</v>
      </c>
      <c r="L17" s="2"/>
    </row>
    <row r="18" spans="1:12" x14ac:dyDescent="0.25">
      <c r="B18" s="2" t="s">
        <v>24</v>
      </c>
      <c r="C18" t="s">
        <v>253</v>
      </c>
      <c r="F18" t="s">
        <v>24</v>
      </c>
      <c r="G18" t="s">
        <v>254</v>
      </c>
      <c r="L18" s="2"/>
    </row>
    <row r="19" spans="1:12" x14ac:dyDescent="0.25">
      <c r="L19" s="2"/>
    </row>
    <row r="20" spans="1:12" x14ac:dyDescent="0.25">
      <c r="A20" s="4"/>
    </row>
    <row r="21" spans="1:12" x14ac:dyDescent="0.25">
      <c r="A21" s="4"/>
    </row>
    <row r="22" spans="1:12" x14ac:dyDescent="0.25">
      <c r="A22" t="s">
        <v>222</v>
      </c>
    </row>
    <row r="23" spans="1:12" x14ac:dyDescent="0.25">
      <c r="A23" t="s">
        <v>32</v>
      </c>
      <c r="C23" s="5">
        <v>150000</v>
      </c>
    </row>
    <row r="24" spans="1:12" x14ac:dyDescent="0.25">
      <c r="A24" t="s">
        <v>16</v>
      </c>
      <c r="C24" s="13">
        <v>-135000</v>
      </c>
    </row>
    <row r="25" spans="1:12" x14ac:dyDescent="0.25">
      <c r="A25" t="s">
        <v>230</v>
      </c>
      <c r="C25" s="63">
        <f>SUM(C23:C24)</f>
        <v>15000</v>
      </c>
    </row>
    <row r="26" spans="1:12" x14ac:dyDescent="0.25">
      <c r="A26" t="s">
        <v>255</v>
      </c>
      <c r="B26" t="s">
        <v>256</v>
      </c>
      <c r="C26" s="5">
        <f>+C25*1000</f>
        <v>15000000</v>
      </c>
    </row>
    <row r="27" spans="1:12" x14ac:dyDescent="0.25">
      <c r="A27" t="s">
        <v>220</v>
      </c>
      <c r="C27" s="5">
        <v>-12000000</v>
      </c>
    </row>
    <row r="28" spans="1:12" ht="15.75" thickBot="1" x14ac:dyDescent="0.3">
      <c r="A28" s="3" t="s">
        <v>257</v>
      </c>
      <c r="B28" s="3"/>
      <c r="C28" s="26">
        <f>SUM(C26:C27)</f>
        <v>3000000</v>
      </c>
    </row>
    <row r="29" spans="1:12" ht="15.75" thickTop="1" x14ac:dyDescent="0.25"/>
    <row r="31" spans="1:12" x14ac:dyDescent="0.25">
      <c r="A31" t="s">
        <v>190</v>
      </c>
    </row>
    <row r="32" spans="1:12" x14ac:dyDescent="0.25">
      <c r="C32" s="6" t="s">
        <v>258</v>
      </c>
      <c r="D32" s="6"/>
      <c r="E32" s="6" t="s">
        <v>259</v>
      </c>
      <c r="F32" s="6" t="s">
        <v>260</v>
      </c>
    </row>
    <row r="33" spans="1:6" x14ac:dyDescent="0.25">
      <c r="A33" t="s">
        <v>33</v>
      </c>
      <c r="B33" t="s">
        <v>261</v>
      </c>
      <c r="C33" s="24">
        <f>1000*45000</f>
        <v>45000000</v>
      </c>
      <c r="D33" t="s">
        <v>262</v>
      </c>
      <c r="E33" s="5">
        <v>150000000</v>
      </c>
      <c r="F33" s="7">
        <f>+E33</f>
        <v>150000000</v>
      </c>
    </row>
    <row r="34" spans="1:6" x14ac:dyDescent="0.25">
      <c r="A34" t="s">
        <v>263</v>
      </c>
      <c r="B34" t="s">
        <v>264</v>
      </c>
      <c r="C34" s="5">
        <f>-1000*30000</f>
        <v>-30000000</v>
      </c>
      <c r="E34" s="25">
        <f>-C33</f>
        <v>-45000000</v>
      </c>
      <c r="F34" s="7">
        <f>+C34</f>
        <v>-30000000</v>
      </c>
    </row>
    <row r="35" spans="1:6" x14ac:dyDescent="0.25">
      <c r="A35" t="s">
        <v>265</v>
      </c>
      <c r="C35" s="14"/>
      <c r="D35" t="s">
        <v>266</v>
      </c>
      <c r="E35" s="13">
        <f>-85000*1000</f>
        <v>-85000000</v>
      </c>
      <c r="F35" s="64">
        <f>+E35</f>
        <v>-85000000</v>
      </c>
    </row>
    <row r="36" spans="1:6" x14ac:dyDescent="0.25">
      <c r="A36" t="s">
        <v>34</v>
      </c>
      <c r="C36" s="7">
        <f>SUM(C33:C35)</f>
        <v>15000000</v>
      </c>
      <c r="E36" s="7">
        <f>SUM(E33:E35)</f>
        <v>20000000</v>
      </c>
      <c r="F36" s="7">
        <f>SUM(F33:F35)</f>
        <v>35000000</v>
      </c>
    </row>
    <row r="37" spans="1:6" x14ac:dyDescent="0.25">
      <c r="A37" t="s">
        <v>267</v>
      </c>
      <c r="C37" s="5">
        <v>-5000000</v>
      </c>
      <c r="D37" s="5"/>
      <c r="E37" s="5">
        <v>-12000000</v>
      </c>
      <c r="F37" s="7">
        <f>SUM(C37:E37)</f>
        <v>-17000000</v>
      </c>
    </row>
    <row r="38" spans="1:6" ht="15.75" thickBot="1" x14ac:dyDescent="0.3">
      <c r="A38" s="2" t="s">
        <v>7</v>
      </c>
      <c r="B38" s="2"/>
      <c r="C38" s="19">
        <f>SUM(C36:C37)</f>
        <v>10000000</v>
      </c>
      <c r="D38" s="2"/>
      <c r="E38" s="19">
        <f>SUM(E36:E37)</f>
        <v>8000000</v>
      </c>
      <c r="F38" s="19">
        <f>SUM(F36:F37)</f>
        <v>18000000</v>
      </c>
    </row>
    <row r="39" spans="1:6" ht="15.75" thickTop="1" x14ac:dyDescent="0.25"/>
    <row r="41" spans="1:6" x14ac:dyDescent="0.25">
      <c r="A41" t="s">
        <v>268</v>
      </c>
    </row>
    <row r="42" spans="1:6" x14ac:dyDescent="0.25">
      <c r="C42" s="6" t="s">
        <v>258</v>
      </c>
      <c r="D42" s="6"/>
      <c r="E42" s="6" t="s">
        <v>259</v>
      </c>
      <c r="F42" s="6" t="s">
        <v>260</v>
      </c>
    </row>
    <row r="43" spans="1:6" x14ac:dyDescent="0.25">
      <c r="A43" t="s">
        <v>33</v>
      </c>
      <c r="B43" t="s">
        <v>269</v>
      </c>
      <c r="C43" s="24">
        <f>1200*45000</f>
        <v>54000000</v>
      </c>
      <c r="D43" t="s">
        <v>270</v>
      </c>
      <c r="E43" s="5">
        <f>145000*1200</f>
        <v>174000000</v>
      </c>
      <c r="F43" s="7">
        <f>+E43</f>
        <v>174000000</v>
      </c>
    </row>
    <row r="44" spans="1:6" x14ac:dyDescent="0.25">
      <c r="A44" t="s">
        <v>263</v>
      </c>
      <c r="B44" t="s">
        <v>271</v>
      </c>
      <c r="C44" s="5">
        <f>-1200*30000</f>
        <v>-36000000</v>
      </c>
      <c r="E44" s="25">
        <f>-C43</f>
        <v>-54000000</v>
      </c>
      <c r="F44" s="7">
        <f>+C44</f>
        <v>-36000000</v>
      </c>
    </row>
    <row r="45" spans="1:6" x14ac:dyDescent="0.25">
      <c r="A45" t="s">
        <v>265</v>
      </c>
      <c r="C45" s="14"/>
      <c r="D45" t="s">
        <v>272</v>
      </c>
      <c r="E45" s="13">
        <f>-85000*1200</f>
        <v>-102000000</v>
      </c>
      <c r="F45" s="64">
        <f>+E45</f>
        <v>-102000000</v>
      </c>
    </row>
    <row r="46" spans="1:6" x14ac:dyDescent="0.25">
      <c r="A46" t="s">
        <v>34</v>
      </c>
      <c r="C46" s="7">
        <f>SUM(C43:C45)</f>
        <v>18000000</v>
      </c>
      <c r="E46" s="7">
        <f>SUM(E43:E45)</f>
        <v>18000000</v>
      </c>
      <c r="F46" s="7">
        <f>SUM(F43:F45)</f>
        <v>36000000</v>
      </c>
    </row>
    <row r="47" spans="1:6" x14ac:dyDescent="0.25">
      <c r="A47" t="s">
        <v>267</v>
      </c>
      <c r="C47" s="5">
        <v>-5000000</v>
      </c>
      <c r="D47" s="5"/>
      <c r="E47" s="5">
        <v>-12000000</v>
      </c>
      <c r="F47" s="7">
        <f>SUM(C47:E47)</f>
        <v>-17000000</v>
      </c>
    </row>
    <row r="48" spans="1:6" ht="15.75" thickBot="1" x14ac:dyDescent="0.3">
      <c r="A48" s="2" t="s">
        <v>7</v>
      </c>
      <c r="B48" s="2"/>
      <c r="C48" s="19">
        <f>SUM(C46:C47)</f>
        <v>13000000</v>
      </c>
      <c r="D48" s="2"/>
      <c r="E48" s="19">
        <f>SUM(E46:E47)</f>
        <v>6000000</v>
      </c>
      <c r="F48" s="19">
        <f>SUM(F46:F47)</f>
        <v>19000000</v>
      </c>
    </row>
    <row r="49" ht="15.75" thickTop="1" x14ac:dyDescent="0.25"/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6"/>
  <sheetViews>
    <sheetView topLeftCell="A15" workbookViewId="0">
      <selection activeCell="A32" sqref="A32:B33"/>
    </sheetView>
  </sheetViews>
  <sheetFormatPr defaultRowHeight="15" x14ac:dyDescent="0.25"/>
  <cols>
    <col min="1" max="1" width="20.5703125" bestFit="1" customWidth="1"/>
    <col min="2" max="2" width="27.5703125" customWidth="1"/>
    <col min="3" max="3" width="15.28515625" customWidth="1"/>
    <col min="4" max="4" width="11.5703125" bestFit="1" customWidth="1"/>
    <col min="5" max="5" width="29" customWidth="1"/>
    <col min="9" max="9" width="14.140625" bestFit="1" customWidth="1"/>
    <col min="10" max="10" width="13.28515625" bestFit="1" customWidth="1"/>
    <col min="11" max="12" width="15.28515625" bestFit="1" customWidth="1"/>
    <col min="13" max="13" width="16" bestFit="1" customWidth="1"/>
  </cols>
  <sheetData>
    <row r="2" spans="1:13" x14ac:dyDescent="0.25">
      <c r="A2" s="4" t="s">
        <v>273</v>
      </c>
    </row>
    <row r="4" spans="1:13" x14ac:dyDescent="0.25">
      <c r="A4" t="s">
        <v>289</v>
      </c>
      <c r="B4" t="s">
        <v>290</v>
      </c>
      <c r="C4" t="s">
        <v>277</v>
      </c>
    </row>
    <row r="5" spans="1:13" x14ac:dyDescent="0.25">
      <c r="B5" t="s">
        <v>291</v>
      </c>
      <c r="C5" t="s">
        <v>292</v>
      </c>
    </row>
    <row r="6" spans="1:13" x14ac:dyDescent="0.25">
      <c r="B6" t="s">
        <v>293</v>
      </c>
      <c r="C6" t="s">
        <v>215</v>
      </c>
    </row>
    <row r="7" spans="1:13" x14ac:dyDescent="0.25">
      <c r="B7" t="s">
        <v>294</v>
      </c>
      <c r="C7" t="s">
        <v>286</v>
      </c>
      <c r="I7" t="s">
        <v>280</v>
      </c>
      <c r="J7" t="s">
        <v>303</v>
      </c>
      <c r="K7" t="s">
        <v>216</v>
      </c>
      <c r="L7" t="s">
        <v>31</v>
      </c>
      <c r="M7" t="s">
        <v>7</v>
      </c>
    </row>
    <row r="8" spans="1:13" x14ac:dyDescent="0.25">
      <c r="I8" s="5">
        <v>1000</v>
      </c>
      <c r="J8" s="5">
        <v>0</v>
      </c>
      <c r="K8" s="5">
        <f>I8*J8</f>
        <v>0</v>
      </c>
      <c r="L8" s="5">
        <f>+J8*370</f>
        <v>0</v>
      </c>
      <c r="M8" s="7">
        <f>K8-L8</f>
        <v>0</v>
      </c>
    </row>
    <row r="9" spans="1:13" x14ac:dyDescent="0.25">
      <c r="A9" t="s">
        <v>294</v>
      </c>
      <c r="B9" t="s">
        <v>286</v>
      </c>
      <c r="I9" s="5">
        <v>990</v>
      </c>
      <c r="J9" s="5">
        <v>10000</v>
      </c>
      <c r="K9" s="5">
        <f t="shared" ref="K9:K72" si="0">I9*J9</f>
        <v>9900000</v>
      </c>
      <c r="L9" s="5">
        <f t="shared" ref="L9:L72" si="1">+J9*370</f>
        <v>3700000</v>
      </c>
      <c r="M9" s="7">
        <f t="shared" ref="M9:M72" si="2">K9-L9</f>
        <v>6200000</v>
      </c>
    </row>
    <row r="10" spans="1:13" x14ac:dyDescent="0.25">
      <c r="A10" t="s">
        <v>298</v>
      </c>
      <c r="I10" s="5">
        <v>980</v>
      </c>
      <c r="J10" s="5">
        <v>20000</v>
      </c>
      <c r="K10" s="5">
        <f t="shared" si="0"/>
        <v>19600000</v>
      </c>
      <c r="L10" s="5">
        <f t="shared" si="1"/>
        <v>7400000</v>
      </c>
      <c r="M10" s="7">
        <f t="shared" si="2"/>
        <v>12200000</v>
      </c>
    </row>
    <row r="11" spans="1:13" x14ac:dyDescent="0.25">
      <c r="A11" t="s">
        <v>295</v>
      </c>
      <c r="B11" t="s">
        <v>296</v>
      </c>
      <c r="I11" s="5">
        <v>970</v>
      </c>
      <c r="J11" s="5">
        <v>30000</v>
      </c>
      <c r="K11" s="5">
        <f t="shared" si="0"/>
        <v>29100000</v>
      </c>
      <c r="L11" s="5">
        <f t="shared" si="1"/>
        <v>11100000</v>
      </c>
      <c r="M11" s="7">
        <f t="shared" si="2"/>
        <v>18000000</v>
      </c>
    </row>
    <row r="12" spans="1:13" x14ac:dyDescent="0.25">
      <c r="B12" t="s">
        <v>297</v>
      </c>
      <c r="I12" s="5">
        <v>960</v>
      </c>
      <c r="J12" s="5">
        <v>40000</v>
      </c>
      <c r="K12" s="5">
        <f t="shared" si="0"/>
        <v>38400000</v>
      </c>
      <c r="L12" s="5">
        <f t="shared" si="1"/>
        <v>14800000</v>
      </c>
      <c r="M12" s="7">
        <f t="shared" si="2"/>
        <v>23600000</v>
      </c>
    </row>
    <row r="13" spans="1:13" x14ac:dyDescent="0.25">
      <c r="B13">
        <f>10/10000</f>
        <v>1E-3</v>
      </c>
      <c r="I13" s="5">
        <v>950</v>
      </c>
      <c r="J13" s="5">
        <v>50000</v>
      </c>
      <c r="K13" s="5">
        <f t="shared" si="0"/>
        <v>47500000</v>
      </c>
      <c r="L13" s="5">
        <f t="shared" si="1"/>
        <v>18500000</v>
      </c>
      <c r="M13" s="7">
        <f t="shared" si="2"/>
        <v>29000000</v>
      </c>
    </row>
    <row r="14" spans="1:13" x14ac:dyDescent="0.25">
      <c r="I14" s="5">
        <v>940</v>
      </c>
      <c r="J14" s="5">
        <v>60000</v>
      </c>
      <c r="K14" s="5">
        <f t="shared" si="0"/>
        <v>56400000</v>
      </c>
      <c r="L14" s="5">
        <f t="shared" si="1"/>
        <v>22200000</v>
      </c>
      <c r="M14" s="7">
        <f t="shared" si="2"/>
        <v>34200000</v>
      </c>
    </row>
    <row r="15" spans="1:13" x14ac:dyDescent="0.25">
      <c r="A15" t="s">
        <v>299</v>
      </c>
      <c r="B15" t="s">
        <v>300</v>
      </c>
      <c r="I15" s="5">
        <v>930</v>
      </c>
      <c r="J15" s="5">
        <v>70000</v>
      </c>
      <c r="K15" s="5">
        <f t="shared" si="0"/>
        <v>65100000</v>
      </c>
      <c r="L15" s="5">
        <f t="shared" si="1"/>
        <v>25900000</v>
      </c>
      <c r="M15" s="7">
        <f t="shared" si="2"/>
        <v>39200000</v>
      </c>
    </row>
    <row r="16" spans="1:13" x14ac:dyDescent="0.25">
      <c r="B16" t="s">
        <v>288</v>
      </c>
      <c r="I16" s="5">
        <v>920</v>
      </c>
      <c r="J16" s="5">
        <v>80000</v>
      </c>
      <c r="K16" s="5">
        <f t="shared" si="0"/>
        <v>73600000</v>
      </c>
      <c r="L16" s="5">
        <f t="shared" si="1"/>
        <v>29600000</v>
      </c>
      <c r="M16" s="7">
        <f t="shared" si="2"/>
        <v>44000000</v>
      </c>
    </row>
    <row r="17" spans="1:13" x14ac:dyDescent="0.25">
      <c r="B17" t="s">
        <v>301</v>
      </c>
      <c r="I17" s="5">
        <v>910</v>
      </c>
      <c r="J17" s="5">
        <v>90000</v>
      </c>
      <c r="K17" s="5">
        <f t="shared" si="0"/>
        <v>81900000</v>
      </c>
      <c r="L17" s="5">
        <f t="shared" si="1"/>
        <v>33300000</v>
      </c>
      <c r="M17" s="7">
        <f t="shared" si="2"/>
        <v>48600000</v>
      </c>
    </row>
    <row r="18" spans="1:13" x14ac:dyDescent="0.25">
      <c r="B18" s="5">
        <f>+B13*1000000</f>
        <v>1000</v>
      </c>
      <c r="I18" s="5">
        <v>900</v>
      </c>
      <c r="J18" s="5">
        <v>100000</v>
      </c>
      <c r="K18" s="5">
        <f t="shared" si="0"/>
        <v>90000000</v>
      </c>
      <c r="L18" s="5">
        <f t="shared" si="1"/>
        <v>37000000</v>
      </c>
      <c r="M18" s="7">
        <f t="shared" si="2"/>
        <v>53000000</v>
      </c>
    </row>
    <row r="19" spans="1:13" x14ac:dyDescent="0.25">
      <c r="I19" s="5">
        <v>890</v>
      </c>
      <c r="J19" s="5">
        <v>110000</v>
      </c>
      <c r="K19" s="5">
        <f t="shared" si="0"/>
        <v>97900000</v>
      </c>
      <c r="L19" s="5">
        <f t="shared" si="1"/>
        <v>40700000</v>
      </c>
      <c r="M19" s="7">
        <f t="shared" si="2"/>
        <v>57200000</v>
      </c>
    </row>
    <row r="20" spans="1:13" x14ac:dyDescent="0.25">
      <c r="A20" t="s">
        <v>294</v>
      </c>
      <c r="B20" t="s">
        <v>286</v>
      </c>
      <c r="I20" s="5">
        <v>880</v>
      </c>
      <c r="J20" s="5">
        <v>120000</v>
      </c>
      <c r="K20" s="5">
        <f t="shared" si="0"/>
        <v>105600000</v>
      </c>
      <c r="L20" s="5">
        <f t="shared" si="1"/>
        <v>44400000</v>
      </c>
      <c r="M20" s="7">
        <f t="shared" si="2"/>
        <v>61200000</v>
      </c>
    </row>
    <row r="21" spans="1:13" x14ac:dyDescent="0.25">
      <c r="A21" t="s">
        <v>294</v>
      </c>
      <c r="B21" t="s">
        <v>302</v>
      </c>
      <c r="I21" s="5">
        <v>870</v>
      </c>
      <c r="J21" s="5">
        <v>130000</v>
      </c>
      <c r="K21" s="5">
        <f t="shared" si="0"/>
        <v>113100000</v>
      </c>
      <c r="L21" s="5">
        <f t="shared" si="1"/>
        <v>48100000</v>
      </c>
      <c r="M21" s="7">
        <f t="shared" si="2"/>
        <v>65000000</v>
      </c>
    </row>
    <row r="22" spans="1:13" x14ac:dyDescent="0.25">
      <c r="I22" s="5">
        <v>860</v>
      </c>
      <c r="J22" s="5">
        <v>140000</v>
      </c>
      <c r="K22" s="5">
        <f t="shared" si="0"/>
        <v>120400000</v>
      </c>
      <c r="L22" s="5">
        <f t="shared" si="1"/>
        <v>51800000</v>
      </c>
      <c r="M22" s="7">
        <f t="shared" si="2"/>
        <v>68600000</v>
      </c>
    </row>
    <row r="23" spans="1:13" x14ac:dyDescent="0.25">
      <c r="A23" t="s">
        <v>304</v>
      </c>
      <c r="B23" t="s">
        <v>305</v>
      </c>
      <c r="I23" s="5">
        <v>850</v>
      </c>
      <c r="J23" s="5">
        <v>150000</v>
      </c>
      <c r="K23" s="5">
        <f t="shared" si="0"/>
        <v>127500000</v>
      </c>
      <c r="L23" s="5">
        <f t="shared" si="1"/>
        <v>55500000</v>
      </c>
      <c r="M23" s="7">
        <f t="shared" si="2"/>
        <v>72000000</v>
      </c>
    </row>
    <row r="24" spans="1:13" x14ac:dyDescent="0.25">
      <c r="B24" t="s">
        <v>306</v>
      </c>
      <c r="I24" s="5">
        <v>840</v>
      </c>
      <c r="J24" s="5">
        <v>160000</v>
      </c>
      <c r="K24" s="5">
        <f t="shared" si="0"/>
        <v>134400000</v>
      </c>
      <c r="L24" s="5">
        <f t="shared" si="1"/>
        <v>59200000</v>
      </c>
      <c r="M24" s="7">
        <f t="shared" si="2"/>
        <v>75200000</v>
      </c>
    </row>
    <row r="25" spans="1:13" x14ac:dyDescent="0.25">
      <c r="A25" t="s">
        <v>275</v>
      </c>
      <c r="B25" t="s">
        <v>307</v>
      </c>
      <c r="I25" s="5">
        <v>830</v>
      </c>
      <c r="J25" s="5">
        <v>170000</v>
      </c>
      <c r="K25" s="5">
        <f t="shared" si="0"/>
        <v>141100000</v>
      </c>
      <c r="L25" s="5">
        <f t="shared" si="1"/>
        <v>62900000</v>
      </c>
      <c r="M25" s="7">
        <f t="shared" si="2"/>
        <v>78200000</v>
      </c>
    </row>
    <row r="26" spans="1:13" x14ac:dyDescent="0.25">
      <c r="B26" t="s">
        <v>308</v>
      </c>
      <c r="I26" s="5">
        <v>820</v>
      </c>
      <c r="J26" s="5">
        <v>180000</v>
      </c>
      <c r="K26" s="5">
        <f t="shared" si="0"/>
        <v>147600000</v>
      </c>
      <c r="L26" s="5">
        <f t="shared" si="1"/>
        <v>66600000</v>
      </c>
      <c r="M26" s="7">
        <f t="shared" si="2"/>
        <v>81000000</v>
      </c>
    </row>
    <row r="27" spans="1:13" x14ac:dyDescent="0.25">
      <c r="B27" t="s">
        <v>309</v>
      </c>
      <c r="I27" s="5">
        <v>810</v>
      </c>
      <c r="J27" s="5">
        <v>190000</v>
      </c>
      <c r="K27" s="5">
        <f t="shared" si="0"/>
        <v>153900000</v>
      </c>
      <c r="L27" s="5">
        <f t="shared" si="1"/>
        <v>70300000</v>
      </c>
      <c r="M27" s="7">
        <f t="shared" si="2"/>
        <v>83600000</v>
      </c>
    </row>
    <row r="28" spans="1:13" x14ac:dyDescent="0.25">
      <c r="B28" t="s">
        <v>310</v>
      </c>
      <c r="I28" s="5">
        <v>800</v>
      </c>
      <c r="J28" s="5">
        <v>200000</v>
      </c>
      <c r="K28" s="5">
        <f t="shared" si="0"/>
        <v>160000000</v>
      </c>
      <c r="L28" s="5">
        <f t="shared" si="1"/>
        <v>74000000</v>
      </c>
      <c r="M28" s="7">
        <f t="shared" si="2"/>
        <v>86000000</v>
      </c>
    </row>
    <row r="29" spans="1:13" x14ac:dyDescent="0.25">
      <c r="B29" t="s">
        <v>311</v>
      </c>
      <c r="I29" s="5">
        <v>790</v>
      </c>
      <c r="J29" s="5">
        <v>210000</v>
      </c>
      <c r="K29" s="5">
        <f t="shared" si="0"/>
        <v>165900000</v>
      </c>
      <c r="L29" s="5">
        <f t="shared" si="1"/>
        <v>77700000</v>
      </c>
      <c r="M29" s="7">
        <f t="shared" si="2"/>
        <v>88200000</v>
      </c>
    </row>
    <row r="30" spans="1:13" x14ac:dyDescent="0.25">
      <c r="B30" t="s">
        <v>312</v>
      </c>
      <c r="I30" s="5">
        <v>780</v>
      </c>
      <c r="J30" s="5">
        <v>220000</v>
      </c>
      <c r="K30" s="5">
        <f t="shared" si="0"/>
        <v>171600000</v>
      </c>
      <c r="L30" s="5">
        <f t="shared" si="1"/>
        <v>81400000</v>
      </c>
      <c r="M30" s="7">
        <f t="shared" si="2"/>
        <v>90200000</v>
      </c>
    </row>
    <row r="31" spans="1:13" x14ac:dyDescent="0.25">
      <c r="I31" s="5">
        <v>770</v>
      </c>
      <c r="J31" s="5">
        <v>230000</v>
      </c>
      <c r="K31" s="5">
        <f t="shared" si="0"/>
        <v>177100000</v>
      </c>
      <c r="L31" s="5">
        <f t="shared" si="1"/>
        <v>85100000</v>
      </c>
      <c r="M31" s="7">
        <f t="shared" si="2"/>
        <v>92000000</v>
      </c>
    </row>
    <row r="32" spans="1:13" x14ac:dyDescent="0.25">
      <c r="A32" t="s">
        <v>313</v>
      </c>
      <c r="B32" t="s">
        <v>314</v>
      </c>
      <c r="I32" s="5">
        <v>760</v>
      </c>
      <c r="J32" s="5">
        <v>240000</v>
      </c>
      <c r="K32" s="5">
        <f t="shared" si="0"/>
        <v>182400000</v>
      </c>
      <c r="L32" s="5">
        <f t="shared" si="1"/>
        <v>88800000</v>
      </c>
      <c r="M32" s="7">
        <f t="shared" si="2"/>
        <v>93600000</v>
      </c>
    </row>
    <row r="33" spans="1:13" x14ac:dyDescent="0.25">
      <c r="B33" t="s">
        <v>315</v>
      </c>
      <c r="E33" s="23" t="s">
        <v>276</v>
      </c>
      <c r="I33" s="5">
        <v>750</v>
      </c>
      <c r="J33" s="5">
        <v>250000</v>
      </c>
      <c r="K33" s="5">
        <f t="shared" si="0"/>
        <v>187500000</v>
      </c>
      <c r="L33" s="5">
        <f t="shared" si="1"/>
        <v>92500000</v>
      </c>
      <c r="M33" s="7">
        <f t="shared" si="2"/>
        <v>95000000</v>
      </c>
    </row>
    <row r="34" spans="1:13" x14ac:dyDescent="0.25">
      <c r="B34" t="s">
        <v>320</v>
      </c>
      <c r="E34" t="s">
        <v>316</v>
      </c>
      <c r="F34" s="5">
        <v>200</v>
      </c>
      <c r="I34" s="5">
        <v>740</v>
      </c>
      <c r="J34" s="5">
        <v>260000</v>
      </c>
      <c r="K34" s="5">
        <f t="shared" si="0"/>
        <v>192400000</v>
      </c>
      <c r="L34" s="5">
        <f t="shared" si="1"/>
        <v>96200000</v>
      </c>
      <c r="M34" s="7">
        <f t="shared" si="2"/>
        <v>96200000</v>
      </c>
    </row>
    <row r="35" spans="1:13" x14ac:dyDescent="0.25">
      <c r="B35" s="39" t="s">
        <v>321</v>
      </c>
      <c r="E35" t="s">
        <v>278</v>
      </c>
      <c r="F35" s="5">
        <v>50</v>
      </c>
      <c r="I35" s="5">
        <v>730</v>
      </c>
      <c r="J35" s="5">
        <v>270000</v>
      </c>
      <c r="K35" s="5">
        <f t="shared" si="0"/>
        <v>197100000</v>
      </c>
      <c r="L35" s="5">
        <f t="shared" si="1"/>
        <v>99900000</v>
      </c>
      <c r="M35" s="7">
        <f t="shared" si="2"/>
        <v>97200000</v>
      </c>
    </row>
    <row r="36" spans="1:13" x14ac:dyDescent="0.25">
      <c r="B36" s="39" t="s">
        <v>322</v>
      </c>
      <c r="E36" t="s">
        <v>317</v>
      </c>
      <c r="F36" s="5">
        <v>40</v>
      </c>
      <c r="I36" s="5">
        <v>720</v>
      </c>
      <c r="J36" s="5">
        <v>280000</v>
      </c>
      <c r="K36" s="5">
        <f t="shared" si="0"/>
        <v>201600000</v>
      </c>
      <c r="L36" s="5">
        <f t="shared" si="1"/>
        <v>103600000</v>
      </c>
      <c r="M36" s="7">
        <f t="shared" si="2"/>
        <v>98000000</v>
      </c>
    </row>
    <row r="37" spans="1:13" x14ac:dyDescent="0.25">
      <c r="B37" t="s">
        <v>323</v>
      </c>
      <c r="E37" t="s">
        <v>318</v>
      </c>
      <c r="F37" s="5">
        <v>60</v>
      </c>
      <c r="I37" s="5">
        <v>710</v>
      </c>
      <c r="J37" s="5">
        <v>290000</v>
      </c>
      <c r="K37" s="5">
        <f t="shared" si="0"/>
        <v>205900000</v>
      </c>
      <c r="L37" s="5">
        <f t="shared" si="1"/>
        <v>107300000</v>
      </c>
      <c r="M37" s="7">
        <f t="shared" si="2"/>
        <v>98600000</v>
      </c>
    </row>
    <row r="38" spans="1:13" x14ac:dyDescent="0.25">
      <c r="B38" t="s">
        <v>324</v>
      </c>
      <c r="C38" s="5">
        <f>630/0.002</f>
        <v>315000</v>
      </c>
      <c r="E38" t="s">
        <v>319</v>
      </c>
      <c r="F38" s="5">
        <v>20</v>
      </c>
      <c r="I38" s="5">
        <v>700</v>
      </c>
      <c r="J38" s="5">
        <v>300000</v>
      </c>
      <c r="K38" s="5">
        <f t="shared" si="0"/>
        <v>210000000</v>
      </c>
      <c r="L38" s="5">
        <f t="shared" si="1"/>
        <v>111000000</v>
      </c>
      <c r="M38" s="7">
        <f t="shared" si="2"/>
        <v>99000000</v>
      </c>
    </row>
    <row r="39" spans="1:13" ht="15.75" thickBot="1" x14ac:dyDescent="0.3">
      <c r="F39" s="11">
        <f>SUM(F34:F38)</f>
        <v>370</v>
      </c>
      <c r="I39" s="24">
        <v>690</v>
      </c>
      <c r="J39" s="24">
        <v>310000</v>
      </c>
      <c r="K39" s="24">
        <f t="shared" si="0"/>
        <v>213900000</v>
      </c>
      <c r="L39" s="24">
        <f t="shared" si="1"/>
        <v>114700000</v>
      </c>
      <c r="M39" s="25">
        <f t="shared" si="2"/>
        <v>99200000</v>
      </c>
    </row>
    <row r="40" spans="1:13" ht="15.75" thickTop="1" x14ac:dyDescent="0.25">
      <c r="A40" t="s">
        <v>294</v>
      </c>
      <c r="B40" t="s">
        <v>302</v>
      </c>
      <c r="I40" s="24">
        <v>680</v>
      </c>
      <c r="J40" s="24">
        <v>320000</v>
      </c>
      <c r="K40" s="24">
        <f t="shared" si="0"/>
        <v>217600000</v>
      </c>
      <c r="L40" s="24">
        <f t="shared" si="1"/>
        <v>118400000</v>
      </c>
      <c r="M40" s="25">
        <f t="shared" si="2"/>
        <v>99200000</v>
      </c>
    </row>
    <row r="41" spans="1:13" x14ac:dyDescent="0.25">
      <c r="B41" t="s">
        <v>325</v>
      </c>
      <c r="I41" s="5">
        <v>670</v>
      </c>
      <c r="J41" s="5">
        <v>330000</v>
      </c>
      <c r="K41" s="5">
        <f t="shared" si="0"/>
        <v>221100000</v>
      </c>
      <c r="L41" s="5">
        <f t="shared" si="1"/>
        <v>122100000</v>
      </c>
      <c r="M41" s="7">
        <f t="shared" si="2"/>
        <v>99000000</v>
      </c>
    </row>
    <row r="42" spans="1:13" x14ac:dyDescent="0.25">
      <c r="B42" t="s">
        <v>279</v>
      </c>
      <c r="C42">
        <f>315000*0.001</f>
        <v>315</v>
      </c>
      <c r="I42" s="5">
        <v>660</v>
      </c>
      <c r="J42" s="5">
        <v>340000</v>
      </c>
      <c r="K42" s="5">
        <f t="shared" si="0"/>
        <v>224400000</v>
      </c>
      <c r="L42" s="5">
        <f t="shared" si="1"/>
        <v>125800000</v>
      </c>
      <c r="M42" s="7">
        <f t="shared" si="2"/>
        <v>98600000</v>
      </c>
    </row>
    <row r="43" spans="1:13" ht="15.75" thickBot="1" x14ac:dyDescent="0.3">
      <c r="B43" s="65">
        <f>1000-315</f>
        <v>685</v>
      </c>
      <c r="I43" s="5">
        <v>650</v>
      </c>
      <c r="J43" s="5">
        <v>350000</v>
      </c>
      <c r="K43" s="5">
        <f t="shared" si="0"/>
        <v>227500000</v>
      </c>
      <c r="L43" s="5">
        <f t="shared" si="1"/>
        <v>129500000</v>
      </c>
      <c r="M43" s="7">
        <f t="shared" si="2"/>
        <v>98000000</v>
      </c>
    </row>
    <row r="44" spans="1:13" ht="15.75" thickTop="1" x14ac:dyDescent="0.25">
      <c r="I44" s="5">
        <v>640</v>
      </c>
      <c r="J44" s="5">
        <v>360000</v>
      </c>
      <c r="K44" s="5">
        <f t="shared" si="0"/>
        <v>230400000</v>
      </c>
      <c r="L44" s="5">
        <f t="shared" si="1"/>
        <v>133200000</v>
      </c>
      <c r="M44" s="7">
        <f t="shared" si="2"/>
        <v>97200000</v>
      </c>
    </row>
    <row r="45" spans="1:13" x14ac:dyDescent="0.25">
      <c r="I45" s="5">
        <v>630</v>
      </c>
      <c r="J45" s="5">
        <v>370000</v>
      </c>
      <c r="K45" s="5">
        <f t="shared" si="0"/>
        <v>233100000</v>
      </c>
      <c r="L45" s="5">
        <f t="shared" si="1"/>
        <v>136900000</v>
      </c>
      <c r="M45" s="7">
        <f t="shared" si="2"/>
        <v>96200000</v>
      </c>
    </row>
    <row r="46" spans="1:13" x14ac:dyDescent="0.25">
      <c r="I46" s="5">
        <v>620</v>
      </c>
      <c r="J46" s="5">
        <v>380000</v>
      </c>
      <c r="K46" s="5">
        <f t="shared" si="0"/>
        <v>235600000</v>
      </c>
      <c r="L46" s="5">
        <f t="shared" si="1"/>
        <v>140600000</v>
      </c>
      <c r="M46" s="7">
        <f t="shared" si="2"/>
        <v>95000000</v>
      </c>
    </row>
    <row r="47" spans="1:13" x14ac:dyDescent="0.25">
      <c r="I47" s="5">
        <v>610</v>
      </c>
      <c r="J47" s="5">
        <v>390000</v>
      </c>
      <c r="K47" s="5">
        <f t="shared" si="0"/>
        <v>237900000</v>
      </c>
      <c r="L47" s="5">
        <f t="shared" si="1"/>
        <v>144300000</v>
      </c>
      <c r="M47" s="7">
        <f t="shared" si="2"/>
        <v>93600000</v>
      </c>
    </row>
    <row r="48" spans="1:13" x14ac:dyDescent="0.25">
      <c r="I48" s="5">
        <v>600</v>
      </c>
      <c r="J48" s="5">
        <v>400000</v>
      </c>
      <c r="K48" s="5">
        <f t="shared" si="0"/>
        <v>240000000</v>
      </c>
      <c r="L48" s="5">
        <f t="shared" si="1"/>
        <v>148000000</v>
      </c>
      <c r="M48" s="7">
        <f t="shared" si="2"/>
        <v>92000000</v>
      </c>
    </row>
    <row r="49" spans="9:13" x14ac:dyDescent="0.25">
      <c r="I49" s="5">
        <v>590</v>
      </c>
      <c r="J49" s="5">
        <v>410000</v>
      </c>
      <c r="K49" s="5">
        <f t="shared" si="0"/>
        <v>241900000</v>
      </c>
      <c r="L49" s="5">
        <f t="shared" si="1"/>
        <v>151700000</v>
      </c>
      <c r="M49" s="7">
        <f t="shared" si="2"/>
        <v>90200000</v>
      </c>
    </row>
    <row r="50" spans="9:13" x14ac:dyDescent="0.25">
      <c r="I50" s="5">
        <v>580</v>
      </c>
      <c r="J50" s="5">
        <v>420000</v>
      </c>
      <c r="K50" s="5">
        <f t="shared" si="0"/>
        <v>243600000</v>
      </c>
      <c r="L50" s="5">
        <f t="shared" si="1"/>
        <v>155400000</v>
      </c>
      <c r="M50" s="7">
        <f t="shared" si="2"/>
        <v>88200000</v>
      </c>
    </row>
    <row r="51" spans="9:13" x14ac:dyDescent="0.25">
      <c r="I51" s="5">
        <v>570</v>
      </c>
      <c r="J51" s="5">
        <v>430000</v>
      </c>
      <c r="K51" s="5">
        <f t="shared" si="0"/>
        <v>245100000</v>
      </c>
      <c r="L51" s="5">
        <f t="shared" si="1"/>
        <v>159100000</v>
      </c>
      <c r="M51" s="7">
        <f t="shared" si="2"/>
        <v>86000000</v>
      </c>
    </row>
    <row r="52" spans="9:13" x14ac:dyDescent="0.25">
      <c r="I52" s="5">
        <v>560</v>
      </c>
      <c r="J52" s="5">
        <v>440000</v>
      </c>
      <c r="K52" s="5">
        <f t="shared" si="0"/>
        <v>246400000</v>
      </c>
      <c r="L52" s="5">
        <f t="shared" si="1"/>
        <v>162800000</v>
      </c>
      <c r="M52" s="7">
        <f t="shared" si="2"/>
        <v>83600000</v>
      </c>
    </row>
    <row r="53" spans="9:13" x14ac:dyDescent="0.25">
      <c r="I53" s="5">
        <v>550</v>
      </c>
      <c r="J53" s="5">
        <v>450000</v>
      </c>
      <c r="K53" s="5">
        <f t="shared" si="0"/>
        <v>247500000</v>
      </c>
      <c r="L53" s="5">
        <f t="shared" si="1"/>
        <v>166500000</v>
      </c>
      <c r="M53" s="7">
        <f t="shared" si="2"/>
        <v>81000000</v>
      </c>
    </row>
    <row r="54" spans="9:13" x14ac:dyDescent="0.25">
      <c r="I54" s="5">
        <v>540</v>
      </c>
      <c r="J54" s="5">
        <v>460000</v>
      </c>
      <c r="K54" s="5">
        <f t="shared" si="0"/>
        <v>248400000</v>
      </c>
      <c r="L54" s="5">
        <f t="shared" si="1"/>
        <v>170200000</v>
      </c>
      <c r="M54" s="7">
        <f t="shared" si="2"/>
        <v>78200000</v>
      </c>
    </row>
    <row r="55" spans="9:13" x14ac:dyDescent="0.25">
      <c r="I55" s="5">
        <v>530</v>
      </c>
      <c r="J55" s="5">
        <v>470000</v>
      </c>
      <c r="K55" s="5">
        <f t="shared" si="0"/>
        <v>249100000</v>
      </c>
      <c r="L55" s="5">
        <f t="shared" si="1"/>
        <v>173900000</v>
      </c>
      <c r="M55" s="7">
        <f t="shared" si="2"/>
        <v>75200000</v>
      </c>
    </row>
    <row r="56" spans="9:13" x14ac:dyDescent="0.25">
      <c r="I56" s="5">
        <v>520</v>
      </c>
      <c r="J56" s="5">
        <v>480000</v>
      </c>
      <c r="K56" s="5">
        <f t="shared" si="0"/>
        <v>249600000</v>
      </c>
      <c r="L56" s="5">
        <f t="shared" si="1"/>
        <v>177600000</v>
      </c>
      <c r="M56" s="7">
        <f t="shared" si="2"/>
        <v>72000000</v>
      </c>
    </row>
    <row r="57" spans="9:13" x14ac:dyDescent="0.25">
      <c r="I57" s="5">
        <v>510</v>
      </c>
      <c r="J57" s="5">
        <v>490000</v>
      </c>
      <c r="K57" s="5">
        <f t="shared" si="0"/>
        <v>249900000</v>
      </c>
      <c r="L57" s="5">
        <f t="shared" si="1"/>
        <v>181300000</v>
      </c>
      <c r="M57" s="7">
        <f t="shared" si="2"/>
        <v>68600000</v>
      </c>
    </row>
    <row r="58" spans="9:13" x14ac:dyDescent="0.25">
      <c r="I58" s="5">
        <v>500</v>
      </c>
      <c r="J58" s="5">
        <v>500000</v>
      </c>
      <c r="K58" s="5">
        <f t="shared" si="0"/>
        <v>250000000</v>
      </c>
      <c r="L58" s="5">
        <f t="shared" si="1"/>
        <v>185000000</v>
      </c>
      <c r="M58" s="7">
        <f t="shared" si="2"/>
        <v>65000000</v>
      </c>
    </row>
    <row r="59" spans="9:13" x14ac:dyDescent="0.25">
      <c r="I59" s="5">
        <v>490</v>
      </c>
      <c r="J59" s="5">
        <v>510000</v>
      </c>
      <c r="K59" s="5">
        <f t="shared" si="0"/>
        <v>249900000</v>
      </c>
      <c r="L59" s="5">
        <f t="shared" si="1"/>
        <v>188700000</v>
      </c>
      <c r="M59" s="7">
        <f t="shared" si="2"/>
        <v>61200000</v>
      </c>
    </row>
    <row r="60" spans="9:13" x14ac:dyDescent="0.25">
      <c r="I60" s="5">
        <v>480</v>
      </c>
      <c r="J60" s="5">
        <v>520000</v>
      </c>
      <c r="K60" s="5">
        <f t="shared" si="0"/>
        <v>249600000</v>
      </c>
      <c r="L60" s="5">
        <f t="shared" si="1"/>
        <v>192400000</v>
      </c>
      <c r="M60" s="7">
        <f t="shared" si="2"/>
        <v>57200000</v>
      </c>
    </row>
    <row r="61" spans="9:13" x14ac:dyDescent="0.25">
      <c r="I61" s="5">
        <v>470</v>
      </c>
      <c r="J61" s="5">
        <v>530000</v>
      </c>
      <c r="K61" s="5">
        <f t="shared" si="0"/>
        <v>249100000</v>
      </c>
      <c r="L61" s="5">
        <f t="shared" si="1"/>
        <v>196100000</v>
      </c>
      <c r="M61" s="7">
        <f t="shared" si="2"/>
        <v>53000000</v>
      </c>
    </row>
    <row r="62" spans="9:13" x14ac:dyDescent="0.25">
      <c r="I62" s="5">
        <v>460</v>
      </c>
      <c r="J62" s="5">
        <v>540000</v>
      </c>
      <c r="K62" s="5">
        <f t="shared" si="0"/>
        <v>248400000</v>
      </c>
      <c r="L62" s="5">
        <f t="shared" si="1"/>
        <v>199800000</v>
      </c>
      <c r="M62" s="7">
        <f t="shared" si="2"/>
        <v>48600000</v>
      </c>
    </row>
    <row r="63" spans="9:13" x14ac:dyDescent="0.25">
      <c r="I63" s="5">
        <v>450</v>
      </c>
      <c r="J63" s="5">
        <v>550000</v>
      </c>
      <c r="K63" s="5">
        <f t="shared" si="0"/>
        <v>247500000</v>
      </c>
      <c r="L63" s="5">
        <f t="shared" si="1"/>
        <v>203500000</v>
      </c>
      <c r="M63" s="7">
        <f t="shared" si="2"/>
        <v>44000000</v>
      </c>
    </row>
    <row r="64" spans="9:13" x14ac:dyDescent="0.25">
      <c r="I64" s="5">
        <v>440</v>
      </c>
      <c r="J64" s="5">
        <v>560000</v>
      </c>
      <c r="K64" s="5">
        <f t="shared" si="0"/>
        <v>246400000</v>
      </c>
      <c r="L64" s="5">
        <f t="shared" si="1"/>
        <v>207200000</v>
      </c>
      <c r="M64" s="7">
        <f t="shared" si="2"/>
        <v>39200000</v>
      </c>
    </row>
    <row r="65" spans="9:13" x14ac:dyDescent="0.25">
      <c r="I65" s="5">
        <v>430</v>
      </c>
      <c r="J65" s="5">
        <v>570000</v>
      </c>
      <c r="K65" s="5">
        <f t="shared" si="0"/>
        <v>245100000</v>
      </c>
      <c r="L65" s="5">
        <f t="shared" si="1"/>
        <v>210900000</v>
      </c>
      <c r="M65" s="7">
        <f t="shared" si="2"/>
        <v>34200000</v>
      </c>
    </row>
    <row r="66" spans="9:13" x14ac:dyDescent="0.25">
      <c r="I66" s="5">
        <v>420</v>
      </c>
      <c r="J66" s="5">
        <v>580000</v>
      </c>
      <c r="K66" s="5">
        <f t="shared" si="0"/>
        <v>243600000</v>
      </c>
      <c r="L66" s="5">
        <f t="shared" si="1"/>
        <v>214600000</v>
      </c>
      <c r="M66" s="7">
        <f t="shared" si="2"/>
        <v>29000000</v>
      </c>
    </row>
    <row r="67" spans="9:13" x14ac:dyDescent="0.25">
      <c r="I67" s="5">
        <v>410</v>
      </c>
      <c r="J67" s="5">
        <v>590000</v>
      </c>
      <c r="K67" s="5">
        <f t="shared" si="0"/>
        <v>241900000</v>
      </c>
      <c r="L67" s="5">
        <f t="shared" si="1"/>
        <v>218300000</v>
      </c>
      <c r="M67" s="7">
        <f t="shared" si="2"/>
        <v>23600000</v>
      </c>
    </row>
    <row r="68" spans="9:13" x14ac:dyDescent="0.25">
      <c r="I68" s="5">
        <v>400</v>
      </c>
      <c r="J68" s="5">
        <v>600000</v>
      </c>
      <c r="K68" s="5">
        <f t="shared" si="0"/>
        <v>240000000</v>
      </c>
      <c r="L68" s="5">
        <f t="shared" si="1"/>
        <v>222000000</v>
      </c>
      <c r="M68" s="7">
        <f t="shared" si="2"/>
        <v>18000000</v>
      </c>
    </row>
    <row r="69" spans="9:13" x14ac:dyDescent="0.25">
      <c r="I69" s="5">
        <v>390</v>
      </c>
      <c r="J69" s="5">
        <v>610000</v>
      </c>
      <c r="K69" s="5">
        <f t="shared" si="0"/>
        <v>237900000</v>
      </c>
      <c r="L69" s="5">
        <f t="shared" si="1"/>
        <v>225700000</v>
      </c>
      <c r="M69" s="7">
        <f t="shared" si="2"/>
        <v>12200000</v>
      </c>
    </row>
    <row r="70" spans="9:13" x14ac:dyDescent="0.25">
      <c r="I70" s="5">
        <v>380</v>
      </c>
      <c r="J70" s="5">
        <v>620000</v>
      </c>
      <c r="K70" s="5">
        <f t="shared" si="0"/>
        <v>235600000</v>
      </c>
      <c r="L70" s="5">
        <f t="shared" si="1"/>
        <v>229400000</v>
      </c>
      <c r="M70" s="7">
        <f t="shared" si="2"/>
        <v>6200000</v>
      </c>
    </row>
    <row r="71" spans="9:13" x14ac:dyDescent="0.25">
      <c r="I71" s="5">
        <v>370</v>
      </c>
      <c r="J71" s="5">
        <v>630000</v>
      </c>
      <c r="K71" s="5">
        <f t="shared" si="0"/>
        <v>233100000</v>
      </c>
      <c r="L71" s="5">
        <f t="shared" si="1"/>
        <v>233100000</v>
      </c>
      <c r="M71" s="7">
        <f t="shared" si="2"/>
        <v>0</v>
      </c>
    </row>
    <row r="72" spans="9:13" x14ac:dyDescent="0.25">
      <c r="I72" s="5">
        <v>360</v>
      </c>
      <c r="J72" s="5">
        <v>640000</v>
      </c>
      <c r="K72" s="5">
        <f t="shared" si="0"/>
        <v>230400000</v>
      </c>
      <c r="L72" s="5">
        <f t="shared" si="1"/>
        <v>236800000</v>
      </c>
      <c r="M72" s="7">
        <f t="shared" si="2"/>
        <v>-6400000</v>
      </c>
    </row>
    <row r="73" spans="9:13" x14ac:dyDescent="0.25">
      <c r="I73" s="5">
        <v>350</v>
      </c>
      <c r="J73" s="5">
        <v>650000</v>
      </c>
      <c r="K73" s="5">
        <f t="shared" ref="K73:K108" si="3">I73*J73</f>
        <v>227500000</v>
      </c>
      <c r="L73" s="5">
        <f t="shared" ref="L73:L108" si="4">+J73*370</f>
        <v>240500000</v>
      </c>
      <c r="M73" s="7">
        <f t="shared" ref="M73:M108" si="5">K73-L73</f>
        <v>-13000000</v>
      </c>
    </row>
    <row r="74" spans="9:13" x14ac:dyDescent="0.25">
      <c r="I74" s="5">
        <v>340</v>
      </c>
      <c r="J74" s="5">
        <v>660000</v>
      </c>
      <c r="K74" s="5">
        <f t="shared" si="3"/>
        <v>224400000</v>
      </c>
      <c r="L74" s="5">
        <f t="shared" si="4"/>
        <v>244200000</v>
      </c>
      <c r="M74" s="7">
        <f t="shared" si="5"/>
        <v>-19800000</v>
      </c>
    </row>
    <row r="75" spans="9:13" x14ac:dyDescent="0.25">
      <c r="I75" s="5">
        <v>330</v>
      </c>
      <c r="J75" s="5">
        <v>670000</v>
      </c>
      <c r="K75" s="5">
        <f t="shared" si="3"/>
        <v>221100000</v>
      </c>
      <c r="L75" s="5">
        <f t="shared" si="4"/>
        <v>247900000</v>
      </c>
      <c r="M75" s="7">
        <f t="shared" si="5"/>
        <v>-26800000</v>
      </c>
    </row>
    <row r="76" spans="9:13" x14ac:dyDescent="0.25">
      <c r="I76" s="5">
        <v>320</v>
      </c>
      <c r="J76" s="5">
        <v>680000</v>
      </c>
      <c r="K76" s="5">
        <f t="shared" si="3"/>
        <v>217600000</v>
      </c>
      <c r="L76" s="5">
        <f t="shared" si="4"/>
        <v>251600000</v>
      </c>
      <c r="M76" s="7">
        <f t="shared" si="5"/>
        <v>-34000000</v>
      </c>
    </row>
    <row r="77" spans="9:13" x14ac:dyDescent="0.25">
      <c r="I77" s="5">
        <v>310</v>
      </c>
      <c r="J77" s="5">
        <v>690000</v>
      </c>
      <c r="K77" s="5">
        <f t="shared" si="3"/>
        <v>213900000</v>
      </c>
      <c r="L77" s="5">
        <f t="shared" si="4"/>
        <v>255300000</v>
      </c>
      <c r="M77" s="7">
        <f t="shared" si="5"/>
        <v>-41400000</v>
      </c>
    </row>
    <row r="78" spans="9:13" x14ac:dyDescent="0.25">
      <c r="I78" s="5">
        <v>300</v>
      </c>
      <c r="J78" s="5">
        <v>700000</v>
      </c>
      <c r="K78" s="5">
        <f t="shared" si="3"/>
        <v>210000000</v>
      </c>
      <c r="L78" s="5">
        <f t="shared" si="4"/>
        <v>259000000</v>
      </c>
      <c r="M78" s="7">
        <f t="shared" si="5"/>
        <v>-49000000</v>
      </c>
    </row>
    <row r="79" spans="9:13" x14ac:dyDescent="0.25">
      <c r="I79" s="5">
        <v>290</v>
      </c>
      <c r="J79" s="5">
        <v>710000</v>
      </c>
      <c r="K79" s="5">
        <f t="shared" si="3"/>
        <v>205900000</v>
      </c>
      <c r="L79" s="5">
        <f t="shared" si="4"/>
        <v>262700000</v>
      </c>
      <c r="M79" s="7">
        <f t="shared" si="5"/>
        <v>-56800000</v>
      </c>
    </row>
    <row r="80" spans="9:13" x14ac:dyDescent="0.25">
      <c r="I80" s="5">
        <v>280</v>
      </c>
      <c r="J80" s="5">
        <v>720000</v>
      </c>
      <c r="K80" s="5">
        <f t="shared" si="3"/>
        <v>201600000</v>
      </c>
      <c r="L80" s="5">
        <f t="shared" si="4"/>
        <v>266400000</v>
      </c>
      <c r="M80" s="7">
        <f t="shared" si="5"/>
        <v>-64800000</v>
      </c>
    </row>
    <row r="81" spans="9:13" x14ac:dyDescent="0.25">
      <c r="I81" s="5">
        <v>270</v>
      </c>
      <c r="J81" s="5">
        <v>730000</v>
      </c>
      <c r="K81" s="5">
        <f t="shared" si="3"/>
        <v>197100000</v>
      </c>
      <c r="L81" s="5">
        <f t="shared" si="4"/>
        <v>270100000</v>
      </c>
      <c r="M81" s="7">
        <f t="shared" si="5"/>
        <v>-73000000</v>
      </c>
    </row>
    <row r="82" spans="9:13" x14ac:dyDescent="0.25">
      <c r="I82" s="5">
        <v>260</v>
      </c>
      <c r="J82" s="5">
        <v>740000</v>
      </c>
      <c r="K82" s="5">
        <f t="shared" si="3"/>
        <v>192400000</v>
      </c>
      <c r="L82" s="5">
        <f t="shared" si="4"/>
        <v>273800000</v>
      </c>
      <c r="M82" s="7">
        <f t="shared" si="5"/>
        <v>-81400000</v>
      </c>
    </row>
    <row r="83" spans="9:13" x14ac:dyDescent="0.25">
      <c r="I83" s="5">
        <v>250</v>
      </c>
      <c r="J83" s="5">
        <v>750000</v>
      </c>
      <c r="K83" s="5">
        <f t="shared" si="3"/>
        <v>187500000</v>
      </c>
      <c r="L83" s="5">
        <f t="shared" si="4"/>
        <v>277500000</v>
      </c>
      <c r="M83" s="7">
        <f t="shared" si="5"/>
        <v>-90000000</v>
      </c>
    </row>
    <row r="84" spans="9:13" x14ac:dyDescent="0.25">
      <c r="I84" s="5">
        <v>240</v>
      </c>
      <c r="J84" s="5">
        <v>760000</v>
      </c>
      <c r="K84" s="5">
        <f t="shared" si="3"/>
        <v>182400000</v>
      </c>
      <c r="L84" s="5">
        <f t="shared" si="4"/>
        <v>281200000</v>
      </c>
      <c r="M84" s="7">
        <f t="shared" si="5"/>
        <v>-98800000</v>
      </c>
    </row>
    <row r="85" spans="9:13" x14ac:dyDescent="0.25">
      <c r="I85" s="5">
        <v>230</v>
      </c>
      <c r="J85" s="5">
        <v>770000</v>
      </c>
      <c r="K85" s="5">
        <f t="shared" si="3"/>
        <v>177100000</v>
      </c>
      <c r="L85" s="5">
        <f t="shared" si="4"/>
        <v>284900000</v>
      </c>
      <c r="M85" s="7">
        <f t="shared" si="5"/>
        <v>-107800000</v>
      </c>
    </row>
    <row r="86" spans="9:13" x14ac:dyDescent="0.25">
      <c r="I86" s="5">
        <v>220</v>
      </c>
      <c r="J86" s="5">
        <v>780000</v>
      </c>
      <c r="K86" s="5">
        <f t="shared" si="3"/>
        <v>171600000</v>
      </c>
      <c r="L86" s="5">
        <f t="shared" si="4"/>
        <v>288600000</v>
      </c>
      <c r="M86" s="7">
        <f t="shared" si="5"/>
        <v>-117000000</v>
      </c>
    </row>
    <row r="87" spans="9:13" x14ac:dyDescent="0.25">
      <c r="I87" s="5">
        <v>210</v>
      </c>
      <c r="J87" s="5">
        <v>790000</v>
      </c>
      <c r="K87" s="5">
        <f t="shared" si="3"/>
        <v>165900000</v>
      </c>
      <c r="L87" s="5">
        <f t="shared" si="4"/>
        <v>292300000</v>
      </c>
      <c r="M87" s="7">
        <f t="shared" si="5"/>
        <v>-126400000</v>
      </c>
    </row>
    <row r="88" spans="9:13" x14ac:dyDescent="0.25">
      <c r="I88" s="5">
        <v>200</v>
      </c>
      <c r="J88" s="5">
        <v>800000</v>
      </c>
      <c r="K88" s="5">
        <f t="shared" si="3"/>
        <v>160000000</v>
      </c>
      <c r="L88" s="5">
        <f t="shared" si="4"/>
        <v>296000000</v>
      </c>
      <c r="M88" s="7">
        <f t="shared" si="5"/>
        <v>-136000000</v>
      </c>
    </row>
    <row r="89" spans="9:13" x14ac:dyDescent="0.25">
      <c r="I89" s="5">
        <v>190</v>
      </c>
      <c r="J89" s="5">
        <v>810000</v>
      </c>
      <c r="K89" s="5">
        <f t="shared" si="3"/>
        <v>153900000</v>
      </c>
      <c r="L89" s="5">
        <f t="shared" si="4"/>
        <v>299700000</v>
      </c>
      <c r="M89" s="7">
        <f t="shared" si="5"/>
        <v>-145800000</v>
      </c>
    </row>
    <row r="90" spans="9:13" x14ac:dyDescent="0.25">
      <c r="I90" s="5">
        <v>180</v>
      </c>
      <c r="J90" s="5">
        <v>820000</v>
      </c>
      <c r="K90" s="5">
        <f t="shared" si="3"/>
        <v>147600000</v>
      </c>
      <c r="L90" s="5">
        <f t="shared" si="4"/>
        <v>303400000</v>
      </c>
      <c r="M90" s="7">
        <f t="shared" si="5"/>
        <v>-155800000</v>
      </c>
    </row>
    <row r="91" spans="9:13" x14ac:dyDescent="0.25">
      <c r="I91" s="5">
        <v>170</v>
      </c>
      <c r="J91" s="5">
        <v>830000</v>
      </c>
      <c r="K91" s="5">
        <f t="shared" si="3"/>
        <v>141100000</v>
      </c>
      <c r="L91" s="5">
        <f t="shared" si="4"/>
        <v>307100000</v>
      </c>
      <c r="M91" s="7">
        <f t="shared" si="5"/>
        <v>-166000000</v>
      </c>
    </row>
    <row r="92" spans="9:13" x14ac:dyDescent="0.25">
      <c r="I92" s="5">
        <v>160</v>
      </c>
      <c r="J92" s="5">
        <v>840000</v>
      </c>
      <c r="K92" s="5">
        <f t="shared" si="3"/>
        <v>134400000</v>
      </c>
      <c r="L92" s="5">
        <f t="shared" si="4"/>
        <v>310800000</v>
      </c>
      <c r="M92" s="7">
        <f t="shared" si="5"/>
        <v>-176400000</v>
      </c>
    </row>
    <row r="93" spans="9:13" x14ac:dyDescent="0.25">
      <c r="I93" s="5">
        <v>150</v>
      </c>
      <c r="J93" s="5">
        <v>850000</v>
      </c>
      <c r="K93" s="5">
        <f t="shared" si="3"/>
        <v>127500000</v>
      </c>
      <c r="L93" s="5">
        <f t="shared" si="4"/>
        <v>314500000</v>
      </c>
      <c r="M93" s="7">
        <f t="shared" si="5"/>
        <v>-187000000</v>
      </c>
    </row>
    <row r="94" spans="9:13" x14ac:dyDescent="0.25">
      <c r="I94" s="5">
        <v>140</v>
      </c>
      <c r="J94" s="5">
        <v>860000</v>
      </c>
      <c r="K94" s="5">
        <f t="shared" si="3"/>
        <v>120400000</v>
      </c>
      <c r="L94" s="5">
        <f t="shared" si="4"/>
        <v>318200000</v>
      </c>
      <c r="M94" s="7">
        <f t="shared" si="5"/>
        <v>-197800000</v>
      </c>
    </row>
    <row r="95" spans="9:13" x14ac:dyDescent="0.25">
      <c r="I95" s="5">
        <v>130</v>
      </c>
      <c r="J95" s="5">
        <v>870000</v>
      </c>
      <c r="K95" s="5">
        <f t="shared" si="3"/>
        <v>113100000</v>
      </c>
      <c r="L95" s="5">
        <f t="shared" si="4"/>
        <v>321900000</v>
      </c>
      <c r="M95" s="7">
        <f t="shared" si="5"/>
        <v>-208800000</v>
      </c>
    </row>
    <row r="96" spans="9:13" x14ac:dyDescent="0.25">
      <c r="I96" s="5">
        <v>120</v>
      </c>
      <c r="J96" s="5">
        <v>880000</v>
      </c>
      <c r="K96" s="5">
        <f t="shared" si="3"/>
        <v>105600000</v>
      </c>
      <c r="L96" s="5">
        <f t="shared" si="4"/>
        <v>325600000</v>
      </c>
      <c r="M96" s="7">
        <f t="shared" si="5"/>
        <v>-220000000</v>
      </c>
    </row>
    <row r="97" spans="9:13" x14ac:dyDescent="0.25">
      <c r="I97" s="5">
        <v>110</v>
      </c>
      <c r="J97" s="5">
        <v>890000</v>
      </c>
      <c r="K97" s="5">
        <f t="shared" si="3"/>
        <v>97900000</v>
      </c>
      <c r="L97" s="5">
        <f t="shared" si="4"/>
        <v>329300000</v>
      </c>
      <c r="M97" s="7">
        <f t="shared" si="5"/>
        <v>-231400000</v>
      </c>
    </row>
    <row r="98" spans="9:13" x14ac:dyDescent="0.25">
      <c r="I98" s="5">
        <v>100</v>
      </c>
      <c r="J98" s="5">
        <v>900000</v>
      </c>
      <c r="K98" s="5">
        <f t="shared" si="3"/>
        <v>90000000</v>
      </c>
      <c r="L98" s="5">
        <f t="shared" si="4"/>
        <v>333000000</v>
      </c>
      <c r="M98" s="7">
        <f t="shared" si="5"/>
        <v>-243000000</v>
      </c>
    </row>
    <row r="99" spans="9:13" x14ac:dyDescent="0.25">
      <c r="I99" s="5">
        <v>90</v>
      </c>
      <c r="J99" s="5">
        <v>910000</v>
      </c>
      <c r="K99" s="5">
        <f t="shared" si="3"/>
        <v>81900000</v>
      </c>
      <c r="L99" s="5">
        <f t="shared" si="4"/>
        <v>336700000</v>
      </c>
      <c r="M99" s="7">
        <f t="shared" si="5"/>
        <v>-254800000</v>
      </c>
    </row>
    <row r="100" spans="9:13" x14ac:dyDescent="0.25">
      <c r="I100" s="5">
        <v>80</v>
      </c>
      <c r="J100" s="5">
        <v>920000</v>
      </c>
      <c r="K100" s="5">
        <f t="shared" si="3"/>
        <v>73600000</v>
      </c>
      <c r="L100" s="5">
        <f t="shared" si="4"/>
        <v>340400000</v>
      </c>
      <c r="M100" s="7">
        <f t="shared" si="5"/>
        <v>-266800000</v>
      </c>
    </row>
    <row r="101" spans="9:13" x14ac:dyDescent="0.25">
      <c r="I101" s="5">
        <v>70</v>
      </c>
      <c r="J101" s="5">
        <v>930000</v>
      </c>
      <c r="K101" s="5">
        <f t="shared" si="3"/>
        <v>65100000</v>
      </c>
      <c r="L101" s="5">
        <f t="shared" si="4"/>
        <v>344100000</v>
      </c>
      <c r="M101" s="7">
        <f t="shared" si="5"/>
        <v>-279000000</v>
      </c>
    </row>
    <row r="102" spans="9:13" x14ac:dyDescent="0.25">
      <c r="I102" s="5">
        <v>60</v>
      </c>
      <c r="J102" s="5">
        <v>940000</v>
      </c>
      <c r="K102" s="5">
        <f t="shared" si="3"/>
        <v>56400000</v>
      </c>
      <c r="L102" s="5">
        <f t="shared" si="4"/>
        <v>347800000</v>
      </c>
      <c r="M102" s="7">
        <f t="shared" si="5"/>
        <v>-291400000</v>
      </c>
    </row>
    <row r="103" spans="9:13" x14ac:dyDescent="0.25">
      <c r="I103" s="5">
        <v>50</v>
      </c>
      <c r="J103" s="5">
        <v>950000</v>
      </c>
      <c r="K103" s="5">
        <f t="shared" si="3"/>
        <v>47500000</v>
      </c>
      <c r="L103" s="5">
        <f t="shared" si="4"/>
        <v>351500000</v>
      </c>
      <c r="M103" s="7">
        <f t="shared" si="5"/>
        <v>-304000000</v>
      </c>
    </row>
    <row r="104" spans="9:13" x14ac:dyDescent="0.25">
      <c r="I104" s="5">
        <v>40</v>
      </c>
      <c r="J104" s="5">
        <v>960000</v>
      </c>
      <c r="K104" s="5">
        <f t="shared" si="3"/>
        <v>38400000</v>
      </c>
      <c r="L104" s="5">
        <f t="shared" si="4"/>
        <v>355200000</v>
      </c>
      <c r="M104" s="7">
        <f t="shared" si="5"/>
        <v>-316800000</v>
      </c>
    </row>
    <row r="105" spans="9:13" x14ac:dyDescent="0.25">
      <c r="I105" s="5">
        <v>30</v>
      </c>
      <c r="J105" s="5">
        <v>970000</v>
      </c>
      <c r="K105" s="5">
        <f t="shared" si="3"/>
        <v>29100000</v>
      </c>
      <c r="L105" s="5">
        <f t="shared" si="4"/>
        <v>358900000</v>
      </c>
      <c r="M105" s="7">
        <f t="shared" si="5"/>
        <v>-329800000</v>
      </c>
    </row>
    <row r="106" spans="9:13" x14ac:dyDescent="0.25">
      <c r="I106" s="5">
        <v>20</v>
      </c>
      <c r="J106" s="5">
        <v>980000</v>
      </c>
      <c r="K106" s="5">
        <f t="shared" si="3"/>
        <v>19600000</v>
      </c>
      <c r="L106" s="5">
        <f t="shared" si="4"/>
        <v>362600000</v>
      </c>
      <c r="M106" s="7">
        <f t="shared" si="5"/>
        <v>-343000000</v>
      </c>
    </row>
    <row r="107" spans="9:13" x14ac:dyDescent="0.25">
      <c r="I107" s="5">
        <v>10</v>
      </c>
      <c r="J107" s="5">
        <v>990000</v>
      </c>
      <c r="K107" s="5">
        <f t="shared" si="3"/>
        <v>9900000</v>
      </c>
      <c r="L107" s="5">
        <f t="shared" si="4"/>
        <v>366300000</v>
      </c>
      <c r="M107" s="7">
        <f t="shared" si="5"/>
        <v>-356400000</v>
      </c>
    </row>
    <row r="108" spans="9:13" x14ac:dyDescent="0.25">
      <c r="I108" s="5">
        <v>0</v>
      </c>
      <c r="J108" s="5">
        <v>1000000</v>
      </c>
      <c r="K108" s="5">
        <f t="shared" si="3"/>
        <v>0</v>
      </c>
      <c r="L108" s="5">
        <f t="shared" si="4"/>
        <v>370000000</v>
      </c>
      <c r="M108" s="7">
        <f t="shared" si="5"/>
        <v>-370000000</v>
      </c>
    </row>
    <row r="109" spans="9:13" x14ac:dyDescent="0.25">
      <c r="I109" s="5"/>
      <c r="J109" s="5"/>
    </row>
    <row r="110" spans="9:13" x14ac:dyDescent="0.25">
      <c r="I110" s="5"/>
      <c r="J110" s="5"/>
    </row>
    <row r="111" spans="9:13" x14ac:dyDescent="0.25">
      <c r="I111" s="5"/>
      <c r="J111" s="5"/>
    </row>
    <row r="112" spans="9:13" x14ac:dyDescent="0.25">
      <c r="I112" s="5"/>
      <c r="J112" s="5"/>
    </row>
    <row r="113" spans="9:10" x14ac:dyDescent="0.25">
      <c r="I113" s="5"/>
      <c r="J113" s="5"/>
    </row>
    <row r="114" spans="9:10" x14ac:dyDescent="0.25">
      <c r="I114" s="5"/>
      <c r="J114" s="5"/>
    </row>
    <row r="115" spans="9:10" x14ac:dyDescent="0.25">
      <c r="I115" s="5"/>
      <c r="J115" s="5"/>
    </row>
    <row r="116" spans="9:10" x14ac:dyDescent="0.25">
      <c r="I116" s="5"/>
      <c r="J116" s="5"/>
    </row>
    <row r="117" spans="9:10" x14ac:dyDescent="0.25">
      <c r="I117" s="5"/>
      <c r="J117" s="5"/>
    </row>
    <row r="118" spans="9:10" x14ac:dyDescent="0.25">
      <c r="I118" s="5"/>
      <c r="J118" s="5"/>
    </row>
    <row r="119" spans="9:10" x14ac:dyDescent="0.25">
      <c r="I119" s="5"/>
      <c r="J119" s="5"/>
    </row>
    <row r="120" spans="9:10" x14ac:dyDescent="0.25">
      <c r="I120" s="5"/>
      <c r="J120" s="5"/>
    </row>
    <row r="121" spans="9:10" x14ac:dyDescent="0.25">
      <c r="I121" s="5"/>
      <c r="J121" s="5"/>
    </row>
    <row r="122" spans="9:10" x14ac:dyDescent="0.25">
      <c r="I122" s="5"/>
      <c r="J122" s="5"/>
    </row>
    <row r="123" spans="9:10" x14ac:dyDescent="0.25">
      <c r="I123" s="5"/>
      <c r="J123" s="5"/>
    </row>
    <row r="124" spans="9:10" x14ac:dyDescent="0.25">
      <c r="I124" s="5"/>
      <c r="J124" s="5"/>
    </row>
    <row r="125" spans="9:10" x14ac:dyDescent="0.25">
      <c r="I125" s="5"/>
      <c r="J125" s="5"/>
    </row>
    <row r="126" spans="9:10" x14ac:dyDescent="0.25">
      <c r="I126" s="5"/>
      <c r="J126" s="5"/>
    </row>
    <row r="127" spans="9:10" x14ac:dyDescent="0.25">
      <c r="I127" s="5"/>
      <c r="J127" s="5"/>
    </row>
    <row r="128" spans="9:10" x14ac:dyDescent="0.25">
      <c r="I128" s="5"/>
      <c r="J128" s="5"/>
    </row>
    <row r="129" spans="9:10" x14ac:dyDescent="0.25">
      <c r="I129" s="5"/>
      <c r="J129" s="5"/>
    </row>
    <row r="130" spans="9:10" x14ac:dyDescent="0.25">
      <c r="I130" s="5"/>
      <c r="J130" s="5"/>
    </row>
    <row r="131" spans="9:10" x14ac:dyDescent="0.25">
      <c r="I131" s="5"/>
      <c r="J131" s="5"/>
    </row>
    <row r="132" spans="9:10" x14ac:dyDescent="0.25">
      <c r="I132" s="5"/>
      <c r="J132" s="5"/>
    </row>
    <row r="133" spans="9:10" x14ac:dyDescent="0.25">
      <c r="I133" s="5"/>
      <c r="J133" s="5"/>
    </row>
    <row r="134" spans="9:10" x14ac:dyDescent="0.25">
      <c r="I134" s="5"/>
      <c r="J134" s="5"/>
    </row>
    <row r="135" spans="9:10" x14ac:dyDescent="0.25">
      <c r="I135" s="5"/>
      <c r="J135" s="5"/>
    </row>
    <row r="136" spans="9:10" x14ac:dyDescent="0.25">
      <c r="I136" s="5"/>
      <c r="J136" s="5"/>
    </row>
    <row r="137" spans="9:10" x14ac:dyDescent="0.25">
      <c r="I137" s="5"/>
      <c r="J137" s="5"/>
    </row>
    <row r="138" spans="9:10" x14ac:dyDescent="0.25">
      <c r="I138" s="5"/>
      <c r="J138" s="5"/>
    </row>
    <row r="139" spans="9:10" x14ac:dyDescent="0.25">
      <c r="I139" s="5"/>
      <c r="J139" s="5"/>
    </row>
    <row r="140" spans="9:10" x14ac:dyDescent="0.25">
      <c r="I140" s="5"/>
      <c r="J140" s="5"/>
    </row>
    <row r="141" spans="9:10" x14ac:dyDescent="0.25">
      <c r="I141" s="5"/>
      <c r="J141" s="5"/>
    </row>
    <row r="142" spans="9:10" x14ac:dyDescent="0.25">
      <c r="I142" s="5"/>
      <c r="J142" s="5"/>
    </row>
    <row r="143" spans="9:10" x14ac:dyDescent="0.25">
      <c r="I143" s="5"/>
      <c r="J143" s="5"/>
    </row>
    <row r="144" spans="9:10" x14ac:dyDescent="0.25">
      <c r="I144" s="5"/>
      <c r="J144" s="5"/>
    </row>
    <row r="145" spans="9:10" x14ac:dyDescent="0.25">
      <c r="I145" s="5"/>
      <c r="J145" s="5"/>
    </row>
    <row r="146" spans="9:10" x14ac:dyDescent="0.25">
      <c r="I146" s="5"/>
      <c r="J146" s="5"/>
    </row>
    <row r="147" spans="9:10" x14ac:dyDescent="0.25">
      <c r="I147" s="5"/>
      <c r="J147" s="5"/>
    </row>
    <row r="148" spans="9:10" x14ac:dyDescent="0.25">
      <c r="I148" s="5"/>
      <c r="J148" s="5"/>
    </row>
    <row r="149" spans="9:10" x14ac:dyDescent="0.25">
      <c r="I149" s="5"/>
      <c r="J149" s="5"/>
    </row>
    <row r="150" spans="9:10" x14ac:dyDescent="0.25">
      <c r="I150" s="5"/>
      <c r="J150" s="5"/>
    </row>
    <row r="151" spans="9:10" x14ac:dyDescent="0.25">
      <c r="I151" s="5"/>
      <c r="J151" s="5"/>
    </row>
    <row r="152" spans="9:10" x14ac:dyDescent="0.25">
      <c r="I152" s="5"/>
      <c r="J152" s="5"/>
    </row>
    <row r="153" spans="9:10" x14ac:dyDescent="0.25">
      <c r="I153" s="5"/>
      <c r="J153" s="5"/>
    </row>
    <row r="154" spans="9:10" x14ac:dyDescent="0.25">
      <c r="I154" s="5"/>
      <c r="J154" s="5"/>
    </row>
    <row r="155" spans="9:10" x14ac:dyDescent="0.25">
      <c r="I155" s="5"/>
      <c r="J155" s="5"/>
    </row>
    <row r="156" spans="9:10" x14ac:dyDescent="0.25">
      <c r="I156" s="5"/>
      <c r="J156" s="5"/>
    </row>
    <row r="157" spans="9:10" x14ac:dyDescent="0.25">
      <c r="I157" s="5"/>
      <c r="J157" s="5"/>
    </row>
    <row r="158" spans="9:10" x14ac:dyDescent="0.25">
      <c r="I158" s="5"/>
      <c r="J158" s="5"/>
    </row>
    <row r="159" spans="9:10" x14ac:dyDescent="0.25">
      <c r="I159" s="5"/>
      <c r="J159" s="5"/>
    </row>
    <row r="160" spans="9:10" x14ac:dyDescent="0.25">
      <c r="I160" s="5"/>
      <c r="J160" s="5"/>
    </row>
    <row r="161" spans="9:10" x14ac:dyDescent="0.25">
      <c r="I161" s="5"/>
      <c r="J161" s="5"/>
    </row>
    <row r="162" spans="9:10" x14ac:dyDescent="0.25">
      <c r="I162" s="5"/>
      <c r="J162" s="5"/>
    </row>
    <row r="163" spans="9:10" x14ac:dyDescent="0.25">
      <c r="I163" s="5"/>
      <c r="J163" s="5"/>
    </row>
    <row r="164" spans="9:10" x14ac:dyDescent="0.25">
      <c r="I164" s="5"/>
      <c r="J164" s="5"/>
    </row>
    <row r="165" spans="9:10" x14ac:dyDescent="0.25">
      <c r="I165" s="5"/>
      <c r="J165" s="5"/>
    </row>
    <row r="166" spans="9:10" x14ac:dyDescent="0.25">
      <c r="I166" s="5"/>
      <c r="J166" s="5"/>
    </row>
    <row r="167" spans="9:10" x14ac:dyDescent="0.25">
      <c r="I167" s="5"/>
      <c r="J167" s="5"/>
    </row>
    <row r="168" spans="9:10" x14ac:dyDescent="0.25">
      <c r="I168" s="5"/>
      <c r="J168" s="5"/>
    </row>
    <row r="169" spans="9:10" x14ac:dyDescent="0.25">
      <c r="I169" s="5"/>
      <c r="J169" s="5"/>
    </row>
    <row r="170" spans="9:10" x14ac:dyDescent="0.25">
      <c r="I170" s="5"/>
      <c r="J170" s="5"/>
    </row>
    <row r="171" spans="9:10" x14ac:dyDescent="0.25">
      <c r="I171" s="5"/>
      <c r="J171" s="5"/>
    </row>
    <row r="172" spans="9:10" x14ac:dyDescent="0.25">
      <c r="I172" s="5"/>
      <c r="J172" s="5"/>
    </row>
    <row r="173" spans="9:10" x14ac:dyDescent="0.25">
      <c r="I173" s="5"/>
      <c r="J173" s="5"/>
    </row>
    <row r="174" spans="9:10" x14ac:dyDescent="0.25">
      <c r="I174" s="5"/>
      <c r="J174" s="5"/>
    </row>
    <row r="175" spans="9:10" x14ac:dyDescent="0.25">
      <c r="I175" s="5"/>
      <c r="J175" s="5"/>
    </row>
    <row r="176" spans="9:10" x14ac:dyDescent="0.25">
      <c r="I176" s="5"/>
      <c r="J176" s="5"/>
    </row>
    <row r="177" spans="9:10" x14ac:dyDescent="0.25">
      <c r="I177" s="5"/>
      <c r="J177" s="5"/>
    </row>
    <row r="178" spans="9:10" x14ac:dyDescent="0.25">
      <c r="I178" s="5"/>
      <c r="J178" s="5"/>
    </row>
    <row r="179" spans="9:10" x14ac:dyDescent="0.25">
      <c r="I179" s="5"/>
      <c r="J179" s="5"/>
    </row>
    <row r="180" spans="9:10" x14ac:dyDescent="0.25">
      <c r="I180" s="5"/>
      <c r="J180" s="5"/>
    </row>
    <row r="181" spans="9:10" x14ac:dyDescent="0.25">
      <c r="I181" s="5"/>
      <c r="J181" s="5"/>
    </row>
    <row r="182" spans="9:10" x14ac:dyDescent="0.25">
      <c r="I182" s="5"/>
      <c r="J182" s="5"/>
    </row>
    <row r="183" spans="9:10" x14ac:dyDescent="0.25">
      <c r="I183" s="5"/>
      <c r="J183" s="5"/>
    </row>
    <row r="184" spans="9:10" x14ac:dyDescent="0.25">
      <c r="I184" s="5"/>
      <c r="J184" s="5"/>
    </row>
    <row r="185" spans="9:10" x14ac:dyDescent="0.25">
      <c r="I185" s="5"/>
      <c r="J185" s="5"/>
    </row>
    <row r="186" spans="9:10" x14ac:dyDescent="0.25">
      <c r="I186" s="5"/>
      <c r="J186" s="5"/>
    </row>
    <row r="187" spans="9:10" x14ac:dyDescent="0.25">
      <c r="I187" s="5"/>
      <c r="J187" s="5"/>
    </row>
    <row r="188" spans="9:10" x14ac:dyDescent="0.25">
      <c r="I188" s="5"/>
      <c r="J188" s="5"/>
    </row>
    <row r="189" spans="9:10" x14ac:dyDescent="0.25">
      <c r="I189" s="5"/>
      <c r="J189" s="5"/>
    </row>
    <row r="190" spans="9:10" x14ac:dyDescent="0.25">
      <c r="I190" s="5"/>
      <c r="J190" s="5"/>
    </row>
    <row r="191" spans="9:10" x14ac:dyDescent="0.25">
      <c r="I191" s="5"/>
      <c r="J191" s="5"/>
    </row>
    <row r="192" spans="9:10" x14ac:dyDescent="0.25">
      <c r="I192" s="5"/>
      <c r="J192" s="5"/>
    </row>
    <row r="193" spans="9:10" x14ac:dyDescent="0.25">
      <c r="I193" s="5"/>
      <c r="J193" s="5"/>
    </row>
    <row r="194" spans="9:10" x14ac:dyDescent="0.25">
      <c r="I194" s="5"/>
      <c r="J194" s="5"/>
    </row>
    <row r="195" spans="9:10" x14ac:dyDescent="0.25">
      <c r="I195" s="5"/>
      <c r="J195" s="5"/>
    </row>
    <row r="196" spans="9:10" x14ac:dyDescent="0.25">
      <c r="I196" s="5"/>
      <c r="J196" s="5"/>
    </row>
    <row r="197" spans="9:10" x14ac:dyDescent="0.25">
      <c r="I197" s="5"/>
      <c r="J197" s="5"/>
    </row>
    <row r="198" spans="9:10" x14ac:dyDescent="0.25">
      <c r="I198" s="5"/>
      <c r="J198" s="5"/>
    </row>
    <row r="199" spans="9:10" x14ac:dyDescent="0.25">
      <c r="I199" s="5"/>
      <c r="J199" s="5"/>
    </row>
    <row r="200" spans="9:10" x14ac:dyDescent="0.25">
      <c r="I200" s="5"/>
      <c r="J200" s="5"/>
    </row>
    <row r="201" spans="9:10" x14ac:dyDescent="0.25">
      <c r="I201" s="5"/>
      <c r="J201" s="5"/>
    </row>
    <row r="202" spans="9:10" x14ac:dyDescent="0.25">
      <c r="I202" s="5"/>
      <c r="J202" s="5"/>
    </row>
    <row r="203" spans="9:10" x14ac:dyDescent="0.25">
      <c r="I203" s="5"/>
      <c r="J203" s="5"/>
    </row>
    <row r="204" spans="9:10" x14ac:dyDescent="0.25">
      <c r="I204" s="5"/>
      <c r="J204" s="5"/>
    </row>
    <row r="205" spans="9:10" x14ac:dyDescent="0.25">
      <c r="I205" s="5"/>
      <c r="J205" s="5"/>
    </row>
    <row r="206" spans="9:10" x14ac:dyDescent="0.25">
      <c r="I206" s="5"/>
      <c r="J206" s="5"/>
    </row>
    <row r="207" spans="9:10" x14ac:dyDescent="0.25">
      <c r="I207" s="5"/>
      <c r="J207" s="5"/>
    </row>
    <row r="208" spans="9:10" x14ac:dyDescent="0.25">
      <c r="I208" s="5"/>
      <c r="J208" s="5"/>
    </row>
    <row r="209" spans="9:10" x14ac:dyDescent="0.25">
      <c r="I209" s="5"/>
      <c r="J209" s="5"/>
    </row>
    <row r="210" spans="9:10" x14ac:dyDescent="0.25">
      <c r="I210" s="5"/>
      <c r="J210" s="5"/>
    </row>
    <row r="211" spans="9:10" x14ac:dyDescent="0.25">
      <c r="I211" s="5"/>
      <c r="J211" s="5"/>
    </row>
    <row r="212" spans="9:10" x14ac:dyDescent="0.25">
      <c r="I212" s="5"/>
      <c r="J212" s="5"/>
    </row>
    <row r="213" spans="9:10" x14ac:dyDescent="0.25">
      <c r="I213" s="5"/>
      <c r="J213" s="5"/>
    </row>
    <row r="214" spans="9:10" x14ac:dyDescent="0.25">
      <c r="I214" s="5"/>
      <c r="J214" s="5"/>
    </row>
    <row r="215" spans="9:10" x14ac:dyDescent="0.25">
      <c r="I215" s="5"/>
      <c r="J215" s="5"/>
    </row>
    <row r="216" spans="9:10" x14ac:dyDescent="0.25">
      <c r="I216" s="5"/>
      <c r="J216" s="5"/>
    </row>
    <row r="217" spans="9:10" x14ac:dyDescent="0.25">
      <c r="I217" s="5"/>
      <c r="J217" s="5"/>
    </row>
    <row r="218" spans="9:10" x14ac:dyDescent="0.25">
      <c r="I218" s="5"/>
      <c r="J218" s="5"/>
    </row>
    <row r="219" spans="9:10" x14ac:dyDescent="0.25">
      <c r="I219" s="5"/>
      <c r="J219" s="5"/>
    </row>
    <row r="220" spans="9:10" x14ac:dyDescent="0.25">
      <c r="I220" s="5"/>
      <c r="J220" s="5"/>
    </row>
    <row r="221" spans="9:10" x14ac:dyDescent="0.25">
      <c r="I221" s="5"/>
      <c r="J221" s="5"/>
    </row>
    <row r="222" spans="9:10" x14ac:dyDescent="0.25">
      <c r="I222" s="5"/>
      <c r="J222" s="5"/>
    </row>
    <row r="223" spans="9:10" x14ac:dyDescent="0.25">
      <c r="I223" s="5"/>
      <c r="J223" s="5"/>
    </row>
    <row r="224" spans="9:10" x14ac:dyDescent="0.25">
      <c r="I224" s="5"/>
      <c r="J224" s="5"/>
    </row>
    <row r="225" spans="9:10" x14ac:dyDescent="0.25">
      <c r="I225" s="5"/>
      <c r="J225" s="5"/>
    </row>
    <row r="226" spans="9:10" x14ac:dyDescent="0.25">
      <c r="I226" s="5"/>
      <c r="J226" s="5"/>
    </row>
    <row r="227" spans="9:10" x14ac:dyDescent="0.25">
      <c r="I227" s="5"/>
      <c r="J227" s="5"/>
    </row>
    <row r="228" spans="9:10" x14ac:dyDescent="0.25">
      <c r="I228" s="5"/>
      <c r="J228" s="5"/>
    </row>
    <row r="229" spans="9:10" x14ac:dyDescent="0.25">
      <c r="I229" s="5"/>
      <c r="J229" s="5"/>
    </row>
    <row r="230" spans="9:10" x14ac:dyDescent="0.25">
      <c r="I230" s="5"/>
      <c r="J230" s="5"/>
    </row>
    <row r="231" spans="9:10" x14ac:dyDescent="0.25">
      <c r="I231" s="5"/>
      <c r="J231" s="5"/>
    </row>
    <row r="232" spans="9:10" x14ac:dyDescent="0.25">
      <c r="I232" s="5"/>
      <c r="J232" s="5"/>
    </row>
    <row r="233" spans="9:10" x14ac:dyDescent="0.25">
      <c r="I233" s="5"/>
      <c r="J233" s="5"/>
    </row>
    <row r="234" spans="9:10" x14ac:dyDescent="0.25">
      <c r="I234" s="5"/>
      <c r="J234" s="5"/>
    </row>
    <row r="235" spans="9:10" x14ac:dyDescent="0.25">
      <c r="I235" s="5"/>
      <c r="J235" s="5"/>
    </row>
    <row r="236" spans="9:10" x14ac:dyDescent="0.25">
      <c r="I236" s="5"/>
      <c r="J236" s="5"/>
    </row>
    <row r="237" spans="9:10" x14ac:dyDescent="0.25">
      <c r="I237" s="5"/>
      <c r="J237" s="5"/>
    </row>
    <row r="238" spans="9:10" x14ac:dyDescent="0.25">
      <c r="I238" s="5"/>
      <c r="J238" s="5"/>
    </row>
    <row r="239" spans="9:10" x14ac:dyDescent="0.25">
      <c r="I239" s="5"/>
      <c r="J239" s="5"/>
    </row>
    <row r="240" spans="9:10" x14ac:dyDescent="0.25">
      <c r="I240" s="5"/>
      <c r="J240" s="5"/>
    </row>
    <row r="241" spans="9:10" x14ac:dyDescent="0.25">
      <c r="I241" s="5"/>
      <c r="J241" s="5"/>
    </row>
    <row r="242" spans="9:10" x14ac:dyDescent="0.25">
      <c r="I242" s="5"/>
      <c r="J242" s="5"/>
    </row>
    <row r="243" spans="9:10" x14ac:dyDescent="0.25">
      <c r="I243" s="5"/>
      <c r="J243" s="5"/>
    </row>
    <row r="244" spans="9:10" x14ac:dyDescent="0.25">
      <c r="I244" s="5"/>
      <c r="J244" s="5"/>
    </row>
    <row r="245" spans="9:10" x14ac:dyDescent="0.25">
      <c r="I245" s="5"/>
      <c r="J245" s="5"/>
    </row>
    <row r="246" spans="9:10" x14ac:dyDescent="0.25">
      <c r="I246" s="5"/>
      <c r="J246" s="5"/>
    </row>
    <row r="247" spans="9:10" x14ac:dyDescent="0.25">
      <c r="I247" s="5"/>
      <c r="J247" s="5"/>
    </row>
    <row r="248" spans="9:10" x14ac:dyDescent="0.25">
      <c r="I248" s="5"/>
      <c r="J248" s="5"/>
    </row>
    <row r="249" spans="9:10" x14ac:dyDescent="0.25">
      <c r="I249" s="5"/>
      <c r="J249" s="5"/>
    </row>
    <row r="250" spans="9:10" x14ac:dyDescent="0.25">
      <c r="I250" s="5"/>
      <c r="J250" s="5"/>
    </row>
    <row r="251" spans="9:10" x14ac:dyDescent="0.25">
      <c r="I251" s="5"/>
      <c r="J251" s="5"/>
    </row>
    <row r="252" spans="9:10" x14ac:dyDescent="0.25">
      <c r="I252" s="5"/>
      <c r="J252" s="5"/>
    </row>
    <row r="253" spans="9:10" x14ac:dyDescent="0.25">
      <c r="I253" s="5"/>
      <c r="J253" s="5"/>
    </row>
    <row r="254" spans="9:10" x14ac:dyDescent="0.25">
      <c r="I254" s="5"/>
      <c r="J254" s="5"/>
    </row>
    <row r="255" spans="9:10" x14ac:dyDescent="0.25">
      <c r="I255" s="5"/>
      <c r="J255" s="5"/>
    </row>
    <row r="256" spans="9:10" x14ac:dyDescent="0.25">
      <c r="I256" s="5"/>
      <c r="J256" s="5"/>
    </row>
    <row r="257" spans="9:10" x14ac:dyDescent="0.25">
      <c r="I257" s="5"/>
      <c r="J257" s="5"/>
    </row>
    <row r="258" spans="9:10" x14ac:dyDescent="0.25">
      <c r="I258" s="5"/>
      <c r="J258" s="5"/>
    </row>
    <row r="259" spans="9:10" x14ac:dyDescent="0.25">
      <c r="I259" s="5"/>
      <c r="J259" s="5"/>
    </row>
    <row r="260" spans="9:10" x14ac:dyDescent="0.25">
      <c r="I260" s="5"/>
      <c r="J260" s="5"/>
    </row>
    <row r="261" spans="9:10" x14ac:dyDescent="0.25">
      <c r="I261" s="5"/>
      <c r="J261" s="5"/>
    </row>
    <row r="262" spans="9:10" x14ac:dyDescent="0.25">
      <c r="I262" s="5"/>
      <c r="J262" s="5"/>
    </row>
    <row r="263" spans="9:10" x14ac:dyDescent="0.25">
      <c r="I263" s="5"/>
      <c r="J263" s="5"/>
    </row>
    <row r="264" spans="9:10" x14ac:dyDescent="0.25">
      <c r="I264" s="5"/>
      <c r="J264" s="5"/>
    </row>
    <row r="265" spans="9:10" x14ac:dyDescent="0.25">
      <c r="I265" s="5"/>
      <c r="J265" s="5"/>
    </row>
    <row r="266" spans="9:10" x14ac:dyDescent="0.25">
      <c r="I266" s="5"/>
      <c r="J266" s="5"/>
    </row>
    <row r="267" spans="9:10" x14ac:dyDescent="0.25">
      <c r="I267" s="5"/>
      <c r="J267" s="5"/>
    </row>
    <row r="268" spans="9:10" x14ac:dyDescent="0.25">
      <c r="I268" s="5"/>
      <c r="J268" s="5"/>
    </row>
    <row r="269" spans="9:10" x14ac:dyDescent="0.25">
      <c r="I269" s="5"/>
      <c r="J269" s="5"/>
    </row>
    <row r="270" spans="9:10" x14ac:dyDescent="0.25">
      <c r="I270" s="5"/>
      <c r="J270" s="5"/>
    </row>
    <row r="271" spans="9:10" x14ac:dyDescent="0.25">
      <c r="I271" s="5"/>
      <c r="J271" s="5"/>
    </row>
    <row r="272" spans="9:10" x14ac:dyDescent="0.25">
      <c r="I272" s="5"/>
      <c r="J272" s="5"/>
    </row>
    <row r="273" spans="9:10" x14ac:dyDescent="0.25">
      <c r="I273" s="5"/>
      <c r="J273" s="5"/>
    </row>
    <row r="274" spans="9:10" x14ac:dyDescent="0.25">
      <c r="I274" s="5"/>
      <c r="J274" s="5"/>
    </row>
    <row r="275" spans="9:10" x14ac:dyDescent="0.25">
      <c r="I275" s="5"/>
      <c r="J275" s="5"/>
    </row>
    <row r="276" spans="9:10" x14ac:dyDescent="0.25">
      <c r="I276" s="5"/>
      <c r="J276" s="5"/>
    </row>
    <row r="277" spans="9:10" x14ac:dyDescent="0.25">
      <c r="I277" s="5"/>
      <c r="J277" s="5"/>
    </row>
    <row r="278" spans="9:10" x14ac:dyDescent="0.25">
      <c r="I278" s="5"/>
      <c r="J278" s="5"/>
    </row>
    <row r="279" spans="9:10" x14ac:dyDescent="0.25">
      <c r="I279" s="5"/>
      <c r="J279" s="5"/>
    </row>
    <row r="280" spans="9:10" x14ac:dyDescent="0.25">
      <c r="I280" s="5"/>
      <c r="J280" s="5"/>
    </row>
    <row r="281" spans="9:10" x14ac:dyDescent="0.25">
      <c r="I281" s="5"/>
      <c r="J281" s="5"/>
    </row>
    <row r="282" spans="9:10" x14ac:dyDescent="0.25">
      <c r="I282" s="5"/>
      <c r="J282" s="5"/>
    </row>
    <row r="283" spans="9:10" x14ac:dyDescent="0.25">
      <c r="I283" s="5"/>
      <c r="J283" s="5"/>
    </row>
    <row r="284" spans="9:10" x14ac:dyDescent="0.25">
      <c r="I284" s="5"/>
      <c r="J284" s="5"/>
    </row>
    <row r="285" spans="9:10" x14ac:dyDescent="0.25">
      <c r="I285" s="5"/>
      <c r="J285" s="5"/>
    </row>
    <row r="286" spans="9:10" x14ac:dyDescent="0.25">
      <c r="I286" s="5"/>
      <c r="J286" s="5"/>
    </row>
    <row r="287" spans="9:10" x14ac:dyDescent="0.25">
      <c r="I287" s="5"/>
      <c r="J287" s="5"/>
    </row>
    <row r="288" spans="9:10" x14ac:dyDescent="0.25">
      <c r="I288" s="5"/>
      <c r="J288" s="5"/>
    </row>
    <row r="289" spans="9:10" x14ac:dyDescent="0.25">
      <c r="I289" s="5"/>
      <c r="J289" s="5"/>
    </row>
    <row r="290" spans="9:10" x14ac:dyDescent="0.25">
      <c r="I290" s="5"/>
      <c r="J290" s="5"/>
    </row>
    <row r="291" spans="9:10" x14ac:dyDescent="0.25">
      <c r="I291" s="5"/>
      <c r="J291" s="5"/>
    </row>
    <row r="292" spans="9:10" x14ac:dyDescent="0.25">
      <c r="I292" s="5"/>
      <c r="J292" s="5"/>
    </row>
    <row r="293" spans="9:10" x14ac:dyDescent="0.25">
      <c r="I293" s="5"/>
      <c r="J293" s="5"/>
    </row>
    <row r="294" spans="9:10" x14ac:dyDescent="0.25">
      <c r="I294" s="5"/>
      <c r="J294" s="5"/>
    </row>
    <row r="295" spans="9:10" x14ac:dyDescent="0.25">
      <c r="I295" s="5"/>
      <c r="J295" s="5"/>
    </row>
    <row r="296" spans="9:10" x14ac:dyDescent="0.25">
      <c r="I296" s="5"/>
      <c r="J296" s="5"/>
    </row>
    <row r="297" spans="9:10" x14ac:dyDescent="0.25">
      <c r="I297" s="5"/>
      <c r="J297" s="5"/>
    </row>
    <row r="298" spans="9:10" x14ac:dyDescent="0.25">
      <c r="I298" s="5"/>
      <c r="J298" s="5"/>
    </row>
    <row r="299" spans="9:10" x14ac:dyDescent="0.25">
      <c r="I299" s="5"/>
      <c r="J299" s="5"/>
    </row>
    <row r="300" spans="9:10" x14ac:dyDescent="0.25">
      <c r="I300" s="5"/>
      <c r="J300" s="5"/>
    </row>
    <row r="301" spans="9:10" x14ac:dyDescent="0.25">
      <c r="I301" s="5"/>
      <c r="J301" s="5"/>
    </row>
    <row r="302" spans="9:10" x14ac:dyDescent="0.25">
      <c r="I302" s="5"/>
      <c r="J302" s="5"/>
    </row>
    <row r="303" spans="9:10" x14ac:dyDescent="0.25">
      <c r="I303" s="5"/>
      <c r="J303" s="5"/>
    </row>
    <row r="304" spans="9:10" x14ac:dyDescent="0.25">
      <c r="I304" s="5"/>
      <c r="J304" s="5"/>
    </row>
    <row r="305" spans="9:10" x14ac:dyDescent="0.25">
      <c r="I305" s="5"/>
      <c r="J305" s="5"/>
    </row>
    <row r="306" spans="9:10" x14ac:dyDescent="0.25">
      <c r="I306" s="5"/>
      <c r="J306" s="5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M8"/>
  <sheetViews>
    <sheetView workbookViewId="0">
      <selection activeCell="I5" sqref="I5"/>
    </sheetView>
  </sheetViews>
  <sheetFormatPr defaultRowHeight="15" x14ac:dyDescent="0.25"/>
  <sheetData>
    <row r="4" spans="3:13" x14ac:dyDescent="0.25">
      <c r="C4" t="s">
        <v>214</v>
      </c>
      <c r="D4" s="39" t="s">
        <v>172</v>
      </c>
      <c r="E4" t="s">
        <v>286</v>
      </c>
      <c r="H4" t="s">
        <v>214</v>
      </c>
      <c r="I4" t="s">
        <v>280</v>
      </c>
    </row>
    <row r="5" spans="3:13" x14ac:dyDescent="0.25">
      <c r="H5" t="s">
        <v>213</v>
      </c>
      <c r="I5" t="s">
        <v>281</v>
      </c>
    </row>
    <row r="6" spans="3:13" x14ac:dyDescent="0.25">
      <c r="C6">
        <v>0</v>
      </c>
      <c r="D6" s="39" t="s">
        <v>172</v>
      </c>
      <c r="E6" t="s">
        <v>286</v>
      </c>
      <c r="H6" t="s">
        <v>274</v>
      </c>
      <c r="I6" t="s">
        <v>282</v>
      </c>
      <c r="M6" t="s">
        <v>283</v>
      </c>
    </row>
    <row r="7" spans="3:13" x14ac:dyDescent="0.25">
      <c r="H7" t="s">
        <v>284</v>
      </c>
      <c r="I7" t="s">
        <v>285</v>
      </c>
    </row>
    <row r="8" spans="3:13" x14ac:dyDescent="0.25">
      <c r="C8" t="s">
        <v>287</v>
      </c>
      <c r="E8" t="s">
        <v>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33"/>
  <sheetViews>
    <sheetView workbookViewId="0">
      <selection activeCell="F21" sqref="F21"/>
    </sheetView>
  </sheetViews>
  <sheetFormatPr defaultRowHeight="15" x14ac:dyDescent="0.25"/>
  <cols>
    <col min="1" max="1" width="21.28515625" customWidth="1"/>
    <col min="2" max="2" width="9.5703125" bestFit="1" customWidth="1"/>
    <col min="4" max="4" width="11.28515625" bestFit="1" customWidth="1"/>
    <col min="6" max="6" width="9.5703125" bestFit="1" customWidth="1"/>
    <col min="7" max="7" width="11.28515625" bestFit="1" customWidth="1"/>
    <col min="9" max="9" width="15.42578125" customWidth="1"/>
    <col min="11" max="11" width="9.5703125" bestFit="1" customWidth="1"/>
    <col min="12" max="12" width="10.5703125" bestFit="1" customWidth="1"/>
  </cols>
  <sheetData>
    <row r="4" spans="1:12" x14ac:dyDescent="0.25">
      <c r="B4" s="5">
        <v>8000</v>
      </c>
      <c r="F4" t="s">
        <v>1</v>
      </c>
    </row>
    <row r="5" spans="1:12" x14ac:dyDescent="0.25">
      <c r="B5" s="1">
        <v>0.5</v>
      </c>
      <c r="F5" s="10">
        <v>8000</v>
      </c>
    </row>
    <row r="8" spans="1:12" x14ac:dyDescent="0.25">
      <c r="A8" t="s">
        <v>0</v>
      </c>
      <c r="L8" t="s">
        <v>2</v>
      </c>
    </row>
    <row r="9" spans="1:12" x14ac:dyDescent="0.25">
      <c r="A9" s="1">
        <v>0.5</v>
      </c>
      <c r="L9" s="5">
        <v>24000</v>
      </c>
    </row>
    <row r="13" spans="1:12" x14ac:dyDescent="0.25">
      <c r="C13" s="2"/>
      <c r="L13" s="2"/>
    </row>
    <row r="14" spans="1:12" x14ac:dyDescent="0.25">
      <c r="K14" s="5"/>
    </row>
    <row r="15" spans="1:12" x14ac:dyDescent="0.25">
      <c r="J15" s="2"/>
      <c r="K15" s="10"/>
    </row>
    <row r="17" spans="1:9" x14ac:dyDescent="0.25">
      <c r="A17" s="4" t="s">
        <v>3</v>
      </c>
    </row>
    <row r="18" spans="1:9" x14ac:dyDescent="0.25">
      <c r="D18" s="4"/>
      <c r="E18" s="4"/>
      <c r="F18" s="4"/>
      <c r="G18" s="4"/>
      <c r="H18" s="4"/>
      <c r="I18" s="4" t="s">
        <v>11</v>
      </c>
    </row>
    <row r="19" spans="1:9" x14ac:dyDescent="0.25">
      <c r="D19" s="6" t="s">
        <v>4</v>
      </c>
      <c r="E19" s="6"/>
      <c r="F19" s="6"/>
      <c r="G19" s="6" t="s">
        <v>5</v>
      </c>
      <c r="H19" s="4"/>
      <c r="I19" s="6" t="s">
        <v>10</v>
      </c>
    </row>
    <row r="20" spans="1:9" x14ac:dyDescent="0.25">
      <c r="A20" t="s">
        <v>65</v>
      </c>
      <c r="D20" s="5">
        <v>8000</v>
      </c>
      <c r="G20" s="5">
        <v>24000</v>
      </c>
      <c r="I20" s="7">
        <f>D20+G20</f>
        <v>32000</v>
      </c>
    </row>
    <row r="21" spans="1:9" x14ac:dyDescent="0.25">
      <c r="A21" s="28" t="s">
        <v>66</v>
      </c>
      <c r="B21" s="28"/>
      <c r="C21" s="28"/>
      <c r="D21" s="30">
        <v>8000</v>
      </c>
      <c r="G21" s="13">
        <v>0</v>
      </c>
      <c r="I21" s="14">
        <v>0</v>
      </c>
    </row>
    <row r="22" spans="1:9" x14ac:dyDescent="0.25">
      <c r="A22" t="s">
        <v>68</v>
      </c>
      <c r="D22" s="8">
        <f>SUM(D20:D21)</f>
        <v>16000</v>
      </c>
      <c r="E22" s="4"/>
      <c r="F22" s="4"/>
      <c r="G22" s="8">
        <f>SUM(G20:G21)</f>
        <v>24000</v>
      </c>
      <c r="I22" s="9">
        <f>SUM(I20:I21)</f>
        <v>32000</v>
      </c>
    </row>
    <row r="24" spans="1:9" x14ac:dyDescent="0.25">
      <c r="A24" t="s">
        <v>21</v>
      </c>
      <c r="D24" s="5">
        <v>12000</v>
      </c>
      <c r="G24" s="5">
        <v>10000</v>
      </c>
      <c r="I24" s="7">
        <f>SUM(D24:G24)</f>
        <v>22000</v>
      </c>
    </row>
    <row r="25" spans="1:9" x14ac:dyDescent="0.25">
      <c r="A25" t="s">
        <v>69</v>
      </c>
      <c r="D25" s="13"/>
      <c r="G25" s="12">
        <f>+D21</f>
        <v>8000</v>
      </c>
      <c r="I25" s="13">
        <v>0</v>
      </c>
    </row>
    <row r="26" spans="1:9" x14ac:dyDescent="0.25">
      <c r="A26" t="s">
        <v>67</v>
      </c>
      <c r="D26" s="8">
        <f>SUM(D24:D25)</f>
        <v>12000</v>
      </c>
      <c r="E26" s="4"/>
      <c r="F26" s="4"/>
      <c r="G26" s="8">
        <f>SUM(G24:G25)</f>
        <v>18000</v>
      </c>
      <c r="I26" s="8">
        <f>SUM(I24:I25)</f>
        <v>22000</v>
      </c>
    </row>
    <row r="27" spans="1:9" ht="15.75" thickBot="1" x14ac:dyDescent="0.3">
      <c r="A27" t="s">
        <v>7</v>
      </c>
      <c r="D27" s="11">
        <f>D22-D26</f>
        <v>4000</v>
      </c>
      <c r="G27" s="11">
        <f>G22-G26</f>
        <v>6000</v>
      </c>
      <c r="I27" s="11">
        <f>I22-I26</f>
        <v>10000</v>
      </c>
    </row>
    <row r="28" spans="1:9" ht="15.75" thickTop="1" x14ac:dyDescent="0.25"/>
    <row r="29" spans="1:9" x14ac:dyDescent="0.25">
      <c r="A29" s="23" t="s">
        <v>70</v>
      </c>
    </row>
    <row r="30" spans="1:9" x14ac:dyDescent="0.25">
      <c r="A30" t="s">
        <v>71</v>
      </c>
    </row>
    <row r="31" spans="1:9" x14ac:dyDescent="0.25">
      <c r="A31" t="s">
        <v>72</v>
      </c>
    </row>
    <row r="32" spans="1:9" x14ac:dyDescent="0.25">
      <c r="A32" t="s">
        <v>73</v>
      </c>
    </row>
    <row r="33" spans="1:1" x14ac:dyDescent="0.25">
      <c r="A33" t="s">
        <v>74</v>
      </c>
    </row>
  </sheetData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34"/>
  <sheetViews>
    <sheetView workbookViewId="0">
      <selection activeCell="E21" sqref="E21"/>
    </sheetView>
  </sheetViews>
  <sheetFormatPr defaultRowHeight="15" x14ac:dyDescent="0.25"/>
  <cols>
    <col min="1" max="1" width="26" customWidth="1"/>
    <col min="2" max="2" width="9.5703125" bestFit="1" customWidth="1"/>
    <col min="3" max="3" width="17" customWidth="1"/>
    <col min="4" max="4" width="11.28515625" bestFit="1" customWidth="1"/>
    <col min="6" max="6" width="11.7109375" customWidth="1"/>
    <col min="7" max="7" width="11.28515625" bestFit="1" customWidth="1"/>
    <col min="9" max="9" width="15.42578125" customWidth="1"/>
    <col min="11" max="11" width="9.5703125" bestFit="1" customWidth="1"/>
    <col min="12" max="12" width="10.5703125" bestFit="1" customWidth="1"/>
  </cols>
  <sheetData>
    <row r="4" spans="1:12" x14ac:dyDescent="0.25">
      <c r="B4" s="5">
        <v>8000</v>
      </c>
      <c r="F4" t="s">
        <v>1</v>
      </c>
    </row>
    <row r="5" spans="1:12" x14ac:dyDescent="0.25">
      <c r="B5" s="1">
        <v>0.5</v>
      </c>
      <c r="F5" s="5"/>
    </row>
    <row r="6" spans="1:12" x14ac:dyDescent="0.25">
      <c r="F6" t="s">
        <v>18</v>
      </c>
    </row>
    <row r="8" spans="1:12" x14ac:dyDescent="0.25">
      <c r="A8" t="s">
        <v>0</v>
      </c>
      <c r="F8" t="s">
        <v>33</v>
      </c>
      <c r="G8" s="5">
        <v>7500</v>
      </c>
      <c r="L8" t="s">
        <v>2</v>
      </c>
    </row>
    <row r="9" spans="1:12" x14ac:dyDescent="0.25">
      <c r="A9" s="1" t="s">
        <v>33</v>
      </c>
      <c r="B9">
        <v>8000</v>
      </c>
      <c r="F9" t="s">
        <v>31</v>
      </c>
      <c r="G9" s="5">
        <v>6000</v>
      </c>
      <c r="L9" s="5">
        <v>24000</v>
      </c>
    </row>
    <row r="10" spans="1:12" x14ac:dyDescent="0.25">
      <c r="A10" t="s">
        <v>80</v>
      </c>
      <c r="B10">
        <v>6000</v>
      </c>
      <c r="F10" t="s">
        <v>7</v>
      </c>
      <c r="G10" s="5">
        <f>+G8-G9</f>
        <v>1500</v>
      </c>
    </row>
    <row r="11" spans="1:12" ht="15.75" thickBot="1" x14ac:dyDescent="0.3">
      <c r="A11" t="s">
        <v>7</v>
      </c>
      <c r="B11">
        <f>B9-B10</f>
        <v>2000</v>
      </c>
      <c r="F11" t="s">
        <v>81</v>
      </c>
      <c r="G11" s="31">
        <f>+G10/G9</f>
        <v>0.25</v>
      </c>
    </row>
    <row r="12" spans="1:12" ht="16.5" thickTop="1" thickBot="1" x14ac:dyDescent="0.3">
      <c r="A12" t="s">
        <v>81</v>
      </c>
      <c r="B12" s="31">
        <f>B11/B10</f>
        <v>0.33333333333333331</v>
      </c>
    </row>
    <row r="13" spans="1:12" ht="15.75" thickTop="1" x14ac:dyDescent="0.25">
      <c r="C13" s="2"/>
      <c r="D13" t="s">
        <v>12</v>
      </c>
      <c r="I13" t="s">
        <v>13</v>
      </c>
      <c r="L13" s="2"/>
    </row>
    <row r="14" spans="1:12" x14ac:dyDescent="0.25">
      <c r="K14" s="5"/>
    </row>
    <row r="15" spans="1:12" x14ac:dyDescent="0.25">
      <c r="A15" s="4" t="s">
        <v>19</v>
      </c>
      <c r="J15" s="2"/>
      <c r="K15" s="10"/>
    </row>
    <row r="17" spans="1:13" x14ac:dyDescent="0.25">
      <c r="A17" s="4"/>
    </row>
    <row r="18" spans="1:13" x14ac:dyDescent="0.25">
      <c r="D18" s="4"/>
      <c r="E18" s="4"/>
      <c r="F18" s="4"/>
      <c r="G18" s="4"/>
      <c r="H18" s="4"/>
      <c r="I18" s="4" t="s">
        <v>11</v>
      </c>
    </row>
    <row r="19" spans="1:13" x14ac:dyDescent="0.25">
      <c r="D19" s="6" t="s">
        <v>4</v>
      </c>
      <c r="E19" s="6"/>
      <c r="F19" s="6"/>
      <c r="G19" s="6" t="s">
        <v>5</v>
      </c>
      <c r="H19" s="4"/>
      <c r="I19" s="6" t="s">
        <v>10</v>
      </c>
      <c r="L19" t="s">
        <v>78</v>
      </c>
      <c r="M19">
        <f>12000*0.5</f>
        <v>6000</v>
      </c>
    </row>
    <row r="20" spans="1:13" x14ac:dyDescent="0.25">
      <c r="A20" t="s">
        <v>75</v>
      </c>
      <c r="D20" s="5">
        <v>8000</v>
      </c>
      <c r="G20" s="5">
        <v>24000</v>
      </c>
      <c r="I20" s="7">
        <f>+D20+G20</f>
        <v>32000</v>
      </c>
      <c r="L20" t="s">
        <v>79</v>
      </c>
      <c r="M20">
        <f>+M19*0.25</f>
        <v>1500</v>
      </c>
    </row>
    <row r="21" spans="1:13" x14ac:dyDescent="0.25">
      <c r="A21" t="s">
        <v>76</v>
      </c>
      <c r="C21" t="s">
        <v>77</v>
      </c>
      <c r="D21" s="12">
        <f>12000*0.5*1.25</f>
        <v>7500</v>
      </c>
      <c r="G21" s="13">
        <v>0</v>
      </c>
      <c r="I21" s="14"/>
      <c r="M21">
        <f>SUM(M19:M20)</f>
        <v>7500</v>
      </c>
    </row>
    <row r="22" spans="1:13" x14ac:dyDescent="0.25">
      <c r="A22" t="s">
        <v>68</v>
      </c>
      <c r="D22" s="8">
        <f>SUM(D20:D21)</f>
        <v>15500</v>
      </c>
      <c r="E22" s="4"/>
      <c r="F22" s="4"/>
      <c r="G22" s="9">
        <f>SUM(G20:G21)</f>
        <v>24000</v>
      </c>
      <c r="I22" s="9">
        <f>SUM(I20:I21)</f>
        <v>32000</v>
      </c>
    </row>
    <row r="24" spans="1:13" x14ac:dyDescent="0.25">
      <c r="A24" t="s">
        <v>6</v>
      </c>
      <c r="D24" s="5">
        <v>12000</v>
      </c>
      <c r="G24" s="5">
        <v>10000</v>
      </c>
      <c r="I24" s="7">
        <f>SUM(D24:G24)</f>
        <v>22000</v>
      </c>
    </row>
    <row r="25" spans="1:13" x14ac:dyDescent="0.25">
      <c r="A25" t="s">
        <v>9</v>
      </c>
      <c r="D25" s="13">
        <v>0</v>
      </c>
      <c r="G25" s="12">
        <f>+D21</f>
        <v>7500</v>
      </c>
      <c r="I25" s="13">
        <v>0</v>
      </c>
    </row>
    <row r="26" spans="1:13" x14ac:dyDescent="0.25">
      <c r="D26" s="8">
        <f>SUM(D24:D25)</f>
        <v>12000</v>
      </c>
      <c r="E26" s="4"/>
      <c r="F26" s="4"/>
      <c r="G26" s="8">
        <f>SUM(G24:G25)</f>
        <v>17500</v>
      </c>
      <c r="I26" s="8">
        <f>SUM(I24:I25)</f>
        <v>22000</v>
      </c>
    </row>
    <row r="27" spans="1:13" ht="15.75" thickBot="1" x14ac:dyDescent="0.3">
      <c r="A27" t="s">
        <v>7</v>
      </c>
      <c r="D27" s="11">
        <f>D22-D26</f>
        <v>3500</v>
      </c>
      <c r="G27" s="11">
        <f>G22-G26</f>
        <v>6500</v>
      </c>
      <c r="I27" s="11">
        <f>I22-I26</f>
        <v>10000</v>
      </c>
    </row>
    <row r="28" spans="1:13" ht="15.75" thickTop="1" x14ac:dyDescent="0.25"/>
    <row r="29" spans="1:13" x14ac:dyDescent="0.25">
      <c r="A29" s="23" t="s">
        <v>70</v>
      </c>
    </row>
    <row r="30" spans="1:13" x14ac:dyDescent="0.25">
      <c r="A30" t="s">
        <v>82</v>
      </c>
    </row>
    <row r="31" spans="1:13" x14ac:dyDescent="0.25">
      <c r="A31" t="s">
        <v>83</v>
      </c>
    </row>
    <row r="32" spans="1:13" x14ac:dyDescent="0.25">
      <c r="A32" t="s">
        <v>84</v>
      </c>
    </row>
    <row r="33" spans="1:1" x14ac:dyDescent="0.25">
      <c r="A33" t="s">
        <v>85</v>
      </c>
    </row>
    <row r="34" spans="1:1" x14ac:dyDescent="0.25">
      <c r="A34" t="s">
        <v>86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35"/>
  <sheetViews>
    <sheetView workbookViewId="0">
      <selection activeCell="G21" sqref="G21"/>
    </sheetView>
  </sheetViews>
  <sheetFormatPr defaultRowHeight="15" x14ac:dyDescent="0.25"/>
  <cols>
    <col min="1" max="1" width="21.28515625" customWidth="1"/>
    <col min="2" max="2" width="9.5703125" bestFit="1" customWidth="1"/>
    <col min="3" max="3" width="14.5703125" customWidth="1"/>
    <col min="4" max="4" width="11.28515625" bestFit="1" customWidth="1"/>
    <col min="6" max="6" width="11.7109375" customWidth="1"/>
    <col min="7" max="7" width="11.28515625" bestFit="1" customWidth="1"/>
    <col min="9" max="9" width="15.42578125" customWidth="1"/>
    <col min="11" max="11" width="9.5703125" bestFit="1" customWidth="1"/>
    <col min="12" max="12" width="10.5703125" bestFit="1" customWidth="1"/>
  </cols>
  <sheetData>
    <row r="4" spans="1:16" x14ac:dyDescent="0.25">
      <c r="B4" s="5"/>
      <c r="F4" t="s">
        <v>1</v>
      </c>
    </row>
    <row r="5" spans="1:16" x14ac:dyDescent="0.25">
      <c r="B5" s="1">
        <v>0.5</v>
      </c>
      <c r="F5" s="5"/>
    </row>
    <row r="8" spans="1:16" x14ac:dyDescent="0.25">
      <c r="A8" t="s">
        <v>0</v>
      </c>
      <c r="G8" s="5"/>
      <c r="L8" s="2" t="s">
        <v>15</v>
      </c>
    </row>
    <row r="9" spans="1:16" x14ac:dyDescent="0.25">
      <c r="A9" s="1"/>
      <c r="G9" s="5"/>
      <c r="L9" s="5" t="s">
        <v>25</v>
      </c>
    </row>
    <row r="10" spans="1:16" x14ac:dyDescent="0.25">
      <c r="G10" s="5"/>
      <c r="L10" t="s">
        <v>26</v>
      </c>
    </row>
    <row r="11" spans="1:16" x14ac:dyDescent="0.25">
      <c r="L11" t="s">
        <v>27</v>
      </c>
    </row>
    <row r="13" spans="1:16" x14ac:dyDescent="0.25">
      <c r="C13" s="2"/>
      <c r="D13" t="s">
        <v>12</v>
      </c>
      <c r="I13" t="s">
        <v>13</v>
      </c>
      <c r="L13" s="2" t="s">
        <v>28</v>
      </c>
      <c r="O13" s="5">
        <v>15</v>
      </c>
      <c r="P13" t="s">
        <v>29</v>
      </c>
    </row>
    <row r="14" spans="1:16" x14ac:dyDescent="0.25">
      <c r="A14" t="s">
        <v>20</v>
      </c>
      <c r="C14" s="5">
        <v>12000</v>
      </c>
      <c r="G14" t="s">
        <v>21</v>
      </c>
      <c r="I14" s="5">
        <v>10000</v>
      </c>
      <c r="K14" s="5"/>
      <c r="L14" t="s">
        <v>30</v>
      </c>
      <c r="O14" s="5">
        <v>15</v>
      </c>
    </row>
    <row r="15" spans="1:16" ht="15.75" thickBot="1" x14ac:dyDescent="0.3">
      <c r="A15" s="18" t="s">
        <v>22</v>
      </c>
      <c r="G15" s="18" t="s">
        <v>22</v>
      </c>
      <c r="K15" s="5"/>
      <c r="O15" s="11">
        <f>SUM(O13:O14)</f>
        <v>30</v>
      </c>
    </row>
    <row r="16" spans="1:16" ht="15.75" thickTop="1" x14ac:dyDescent="0.25">
      <c r="A16" t="s">
        <v>23</v>
      </c>
      <c r="C16" s="5">
        <v>9</v>
      </c>
      <c r="G16" t="s">
        <v>23</v>
      </c>
      <c r="I16" s="10">
        <v>15</v>
      </c>
      <c r="K16" s="5"/>
    </row>
    <row r="17" spans="1:11" x14ac:dyDescent="0.25">
      <c r="A17" t="s">
        <v>24</v>
      </c>
      <c r="C17" s="5">
        <v>6</v>
      </c>
      <c r="G17" t="s">
        <v>24</v>
      </c>
      <c r="I17" s="5">
        <v>10</v>
      </c>
      <c r="K17" s="5"/>
    </row>
    <row r="18" spans="1:11" ht="15.75" thickBot="1" x14ac:dyDescent="0.3">
      <c r="C18" s="19">
        <f>SUM(C16:C17)</f>
        <v>15</v>
      </c>
      <c r="I18" s="11">
        <f>SUM(I16:I17)</f>
        <v>25</v>
      </c>
      <c r="K18" s="5"/>
    </row>
    <row r="19" spans="1:11" ht="15.75" thickTop="1" x14ac:dyDescent="0.25">
      <c r="K19" s="5"/>
    </row>
    <row r="20" spans="1:11" x14ac:dyDescent="0.25">
      <c r="K20" s="5"/>
    </row>
    <row r="21" spans="1:11" x14ac:dyDescent="0.25">
      <c r="K21" s="5"/>
    </row>
    <row r="22" spans="1:11" x14ac:dyDescent="0.25">
      <c r="K22" s="5"/>
    </row>
    <row r="23" spans="1:11" x14ac:dyDescent="0.25">
      <c r="A23" s="4"/>
      <c r="J23" s="2"/>
      <c r="K23" s="10"/>
    </row>
    <row r="25" spans="1:11" x14ac:dyDescent="0.25">
      <c r="A25" s="4"/>
    </row>
    <row r="26" spans="1:11" x14ac:dyDescent="0.25">
      <c r="D26" s="4"/>
      <c r="E26" s="4"/>
      <c r="F26" s="4"/>
      <c r="G26" s="4"/>
      <c r="H26" s="4"/>
      <c r="I26" s="4"/>
    </row>
    <row r="27" spans="1:11" x14ac:dyDescent="0.25">
      <c r="D27" s="6"/>
      <c r="E27" s="6"/>
      <c r="F27" s="6"/>
      <c r="G27" s="6"/>
      <c r="H27" s="4"/>
      <c r="I27" s="6"/>
    </row>
    <row r="28" spans="1:11" x14ac:dyDescent="0.25">
      <c r="D28" s="16"/>
      <c r="G28" s="16"/>
      <c r="I28" s="7"/>
    </row>
    <row r="29" spans="1:11" x14ac:dyDescent="0.25">
      <c r="D29" s="15"/>
      <c r="G29" s="16"/>
    </row>
    <row r="30" spans="1:11" x14ac:dyDescent="0.25">
      <c r="D30" s="8"/>
      <c r="E30" s="4"/>
      <c r="F30" s="4"/>
      <c r="G30" s="17"/>
      <c r="I30" s="17"/>
    </row>
    <row r="32" spans="1:11" x14ac:dyDescent="0.25">
      <c r="D32" s="16"/>
      <c r="G32" s="16"/>
      <c r="I32" s="7"/>
    </row>
    <row r="33" spans="4:9" x14ac:dyDescent="0.25">
      <c r="D33" s="16"/>
      <c r="G33" s="15"/>
      <c r="I33" s="16"/>
    </row>
    <row r="34" spans="4:9" x14ac:dyDescent="0.25">
      <c r="D34" s="8"/>
      <c r="E34" s="4"/>
      <c r="F34" s="4"/>
      <c r="G34" s="8"/>
      <c r="I34" s="8"/>
    </row>
    <row r="35" spans="4:9" x14ac:dyDescent="0.25">
      <c r="D35" s="7"/>
      <c r="G35" s="7"/>
      <c r="I35" s="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40"/>
  <sheetViews>
    <sheetView workbookViewId="0">
      <selection activeCell="H22" sqref="H22"/>
    </sheetView>
  </sheetViews>
  <sheetFormatPr defaultRowHeight="15" x14ac:dyDescent="0.25"/>
  <cols>
    <col min="1" max="1" width="21.28515625" customWidth="1"/>
    <col min="2" max="2" width="9.5703125" bestFit="1" customWidth="1"/>
    <col min="3" max="3" width="19.28515625" customWidth="1"/>
    <col min="4" max="4" width="11.28515625" bestFit="1" customWidth="1"/>
    <col min="6" max="6" width="11.7109375" customWidth="1"/>
    <col min="7" max="7" width="11.28515625" bestFit="1" customWidth="1"/>
    <col min="9" max="9" width="15.42578125" customWidth="1"/>
    <col min="11" max="11" width="9.5703125" bestFit="1" customWidth="1"/>
    <col min="12" max="12" width="10.5703125" bestFit="1" customWidth="1"/>
  </cols>
  <sheetData>
    <row r="4" spans="1:15" x14ac:dyDescent="0.25">
      <c r="B4" s="5"/>
      <c r="F4" t="s">
        <v>1</v>
      </c>
    </row>
    <row r="5" spans="1:15" x14ac:dyDescent="0.25">
      <c r="B5" s="1">
        <v>0.5</v>
      </c>
      <c r="F5" s="5"/>
    </row>
    <row r="8" spans="1:15" x14ac:dyDescent="0.25">
      <c r="A8" t="s">
        <v>0</v>
      </c>
      <c r="G8" s="5"/>
      <c r="L8" t="s">
        <v>2</v>
      </c>
    </row>
    <row r="9" spans="1:15" x14ac:dyDescent="0.25">
      <c r="A9" s="1"/>
      <c r="G9" s="5"/>
      <c r="L9" s="5">
        <v>24000</v>
      </c>
    </row>
    <row r="10" spans="1:15" x14ac:dyDescent="0.25">
      <c r="G10" s="5"/>
    </row>
    <row r="13" spans="1:15" x14ac:dyDescent="0.25">
      <c r="C13" s="2"/>
      <c r="D13" t="s">
        <v>12</v>
      </c>
      <c r="I13" t="s">
        <v>13</v>
      </c>
      <c r="L13" s="2"/>
      <c r="O13" s="5"/>
    </row>
    <row r="14" spans="1:15" x14ac:dyDescent="0.25">
      <c r="C14" s="5"/>
      <c r="I14" s="5"/>
      <c r="K14" s="5"/>
      <c r="O14" s="5"/>
    </row>
    <row r="15" spans="1:15" x14ac:dyDescent="0.25">
      <c r="A15" s="18" t="s">
        <v>22</v>
      </c>
      <c r="G15" s="18" t="s">
        <v>22</v>
      </c>
      <c r="K15" s="5"/>
      <c r="O15" s="7"/>
    </row>
    <row r="16" spans="1:15" x14ac:dyDescent="0.25">
      <c r="A16" t="s">
        <v>23</v>
      </c>
      <c r="C16" s="32">
        <v>9</v>
      </c>
      <c r="D16" s="2" t="s">
        <v>88</v>
      </c>
      <c r="G16" t="s">
        <v>23</v>
      </c>
      <c r="I16" s="20">
        <v>15</v>
      </c>
      <c r="K16" s="5"/>
    </row>
    <row r="17" spans="1:11" x14ac:dyDescent="0.25">
      <c r="A17" t="s">
        <v>24</v>
      </c>
      <c r="C17" s="20">
        <v>6</v>
      </c>
      <c r="G17" t="s">
        <v>24</v>
      </c>
      <c r="I17" s="20">
        <v>10</v>
      </c>
      <c r="K17" s="5"/>
    </row>
    <row r="18" spans="1:11" ht="15.75" thickBot="1" x14ac:dyDescent="0.3">
      <c r="C18" s="21">
        <f>SUM(C16:C17)</f>
        <v>15</v>
      </c>
      <c r="I18" s="21">
        <f>SUM(I16:I17)</f>
        <v>25</v>
      </c>
      <c r="K18" s="5"/>
    </row>
    <row r="19" spans="1:11" ht="15.75" thickTop="1" x14ac:dyDescent="0.25">
      <c r="K19" s="5"/>
    </row>
    <row r="20" spans="1:11" x14ac:dyDescent="0.25">
      <c r="K20" s="5"/>
    </row>
    <row r="21" spans="1:11" x14ac:dyDescent="0.25">
      <c r="A21" s="4" t="s">
        <v>94</v>
      </c>
      <c r="K21" s="5"/>
    </row>
    <row r="22" spans="1:11" x14ac:dyDescent="0.25">
      <c r="K22" s="5"/>
    </row>
    <row r="23" spans="1:11" x14ac:dyDescent="0.25">
      <c r="A23" s="4"/>
      <c r="J23" s="2"/>
      <c r="K23" s="10"/>
    </row>
    <row r="24" spans="1:11" x14ac:dyDescent="0.25">
      <c r="D24" s="4"/>
      <c r="E24" s="4"/>
      <c r="F24" s="4"/>
      <c r="G24" s="4"/>
      <c r="H24" s="4"/>
      <c r="I24" s="4" t="s">
        <v>11</v>
      </c>
    </row>
    <row r="25" spans="1:11" x14ac:dyDescent="0.25">
      <c r="D25" s="6" t="s">
        <v>4</v>
      </c>
      <c r="E25" s="6"/>
      <c r="F25" s="6"/>
      <c r="G25" s="6" t="s">
        <v>5</v>
      </c>
      <c r="H25" s="4"/>
      <c r="I25" s="6" t="s">
        <v>10</v>
      </c>
    </row>
    <row r="26" spans="1:11" x14ac:dyDescent="0.25">
      <c r="A26" t="s">
        <v>75</v>
      </c>
      <c r="D26" s="5">
        <v>8000</v>
      </c>
      <c r="G26" s="5">
        <v>24000</v>
      </c>
      <c r="I26" s="7">
        <f>+D26+G26</f>
        <v>32000</v>
      </c>
    </row>
    <row r="27" spans="1:11" x14ac:dyDescent="0.25">
      <c r="A27" t="s">
        <v>8</v>
      </c>
      <c r="C27" t="s">
        <v>87</v>
      </c>
      <c r="D27" s="12">
        <f>800*0.5*9</f>
        <v>3600</v>
      </c>
      <c r="G27" s="13">
        <v>0</v>
      </c>
      <c r="I27" s="14"/>
    </row>
    <row r="28" spans="1:11" x14ac:dyDescent="0.25">
      <c r="D28" s="8">
        <f>SUM(D26:D27)</f>
        <v>11600</v>
      </c>
      <c r="E28" s="4"/>
      <c r="F28" s="4"/>
      <c r="G28" s="9">
        <f>SUM(G26:G27)</f>
        <v>24000</v>
      </c>
      <c r="I28" s="9">
        <f>SUM(I26:I27)</f>
        <v>32000</v>
      </c>
    </row>
    <row r="30" spans="1:11" x14ac:dyDescent="0.25">
      <c r="A30" t="s">
        <v>6</v>
      </c>
      <c r="D30" s="5">
        <v>12000</v>
      </c>
      <c r="G30" s="5">
        <v>10000</v>
      </c>
      <c r="I30" s="7">
        <f>SUM(D30:G30)</f>
        <v>22000</v>
      </c>
    </row>
    <row r="31" spans="1:11" x14ac:dyDescent="0.25">
      <c r="A31" t="s">
        <v>9</v>
      </c>
      <c r="D31" s="13">
        <v>0</v>
      </c>
      <c r="G31" s="12">
        <f>+D27</f>
        <v>3600</v>
      </c>
      <c r="I31" s="13">
        <v>0</v>
      </c>
    </row>
    <row r="32" spans="1:11" x14ac:dyDescent="0.25">
      <c r="D32" s="8">
        <f>SUM(D30:D31)</f>
        <v>12000</v>
      </c>
      <c r="E32" s="4"/>
      <c r="F32" s="4"/>
      <c r="G32" s="8">
        <f>SUM(G30:G31)</f>
        <v>13600</v>
      </c>
      <c r="I32" s="8">
        <f>SUM(I30:I31)</f>
        <v>22000</v>
      </c>
    </row>
    <row r="33" spans="1:9" ht="15.75" thickBot="1" x14ac:dyDescent="0.3">
      <c r="A33" t="s">
        <v>7</v>
      </c>
      <c r="D33" s="11">
        <f>D28-D32</f>
        <v>-400</v>
      </c>
      <c r="G33" s="11">
        <f>G28-G32</f>
        <v>10400</v>
      </c>
      <c r="I33" s="11">
        <f>I28-I32</f>
        <v>10000</v>
      </c>
    </row>
    <row r="34" spans="1:9" ht="15.75" thickTop="1" x14ac:dyDescent="0.25"/>
    <row r="35" spans="1:9" x14ac:dyDescent="0.25">
      <c r="A35" s="23" t="s">
        <v>70</v>
      </c>
      <c r="D35" s="7"/>
      <c r="G35" s="7"/>
      <c r="I35" s="7"/>
    </row>
    <row r="36" spans="1:9" x14ac:dyDescent="0.25">
      <c r="A36" t="s">
        <v>89</v>
      </c>
    </row>
    <row r="37" spans="1:9" x14ac:dyDescent="0.25">
      <c r="A37" t="s">
        <v>90</v>
      </c>
    </row>
    <row r="38" spans="1:9" x14ac:dyDescent="0.25">
      <c r="A38" t="s">
        <v>91</v>
      </c>
    </row>
    <row r="39" spans="1:9" x14ac:dyDescent="0.25">
      <c r="A39" t="s">
        <v>92</v>
      </c>
    </row>
    <row r="40" spans="1:9" x14ac:dyDescent="0.25">
      <c r="A40" t="s">
        <v>93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7"/>
  <sheetViews>
    <sheetView workbookViewId="0">
      <selection activeCell="H22" sqref="H22"/>
    </sheetView>
  </sheetViews>
  <sheetFormatPr defaultRowHeight="15" x14ac:dyDescent="0.25"/>
  <cols>
    <col min="1" max="1" width="21" customWidth="1"/>
    <col min="2" max="3" width="12.7109375" customWidth="1"/>
    <col min="4" max="4" width="14.42578125" customWidth="1"/>
    <col min="5" max="5" width="9.5703125" bestFit="1" customWidth="1"/>
    <col min="9" max="9" width="13.28515625" customWidth="1"/>
    <col min="13" max="13" width="10.5703125" bestFit="1" customWidth="1"/>
  </cols>
  <sheetData>
    <row r="2" spans="1:12" x14ac:dyDescent="0.25">
      <c r="A2" s="4" t="s">
        <v>99</v>
      </c>
    </row>
    <row r="3" spans="1:12" x14ac:dyDescent="0.25">
      <c r="A3" s="4"/>
    </row>
    <row r="4" spans="1:12" x14ac:dyDescent="0.25">
      <c r="F4" t="s">
        <v>95</v>
      </c>
    </row>
    <row r="5" spans="1:12" x14ac:dyDescent="0.25">
      <c r="B5" s="5"/>
    </row>
    <row r="6" spans="1:12" x14ac:dyDescent="0.25">
      <c r="B6" s="1"/>
      <c r="F6" s="5"/>
    </row>
    <row r="9" spans="1:12" x14ac:dyDescent="0.25">
      <c r="A9" t="s">
        <v>0</v>
      </c>
      <c r="G9" s="5"/>
      <c r="K9" t="s">
        <v>96</v>
      </c>
    </row>
    <row r="10" spans="1:12" x14ac:dyDescent="0.25">
      <c r="A10" s="1" t="s">
        <v>35</v>
      </c>
      <c r="B10">
        <v>800</v>
      </c>
      <c r="G10" s="5"/>
      <c r="L10" s="5"/>
    </row>
    <row r="11" spans="1:12" x14ac:dyDescent="0.25">
      <c r="A11" t="s">
        <v>38</v>
      </c>
      <c r="B11">
        <v>500</v>
      </c>
      <c r="G11" s="5"/>
    </row>
    <row r="12" spans="1:12" x14ac:dyDescent="0.25">
      <c r="A12" t="s">
        <v>39</v>
      </c>
      <c r="B12">
        <v>300</v>
      </c>
    </row>
    <row r="14" spans="1:12" x14ac:dyDescent="0.25">
      <c r="C14" s="2"/>
      <c r="D14" t="s">
        <v>12</v>
      </c>
      <c r="I14" t="s">
        <v>13</v>
      </c>
      <c r="L14" s="2"/>
    </row>
    <row r="15" spans="1:12" x14ac:dyDescent="0.25">
      <c r="D15" t="s">
        <v>97</v>
      </c>
      <c r="E15" t="s">
        <v>23</v>
      </c>
      <c r="F15" t="s">
        <v>98</v>
      </c>
    </row>
    <row r="16" spans="1:12" x14ac:dyDescent="0.25">
      <c r="C16" t="s">
        <v>35</v>
      </c>
      <c r="D16">
        <v>48</v>
      </c>
      <c r="E16">
        <v>33</v>
      </c>
      <c r="F16">
        <v>3</v>
      </c>
    </row>
    <row r="17" spans="1:6" x14ac:dyDescent="0.25">
      <c r="C17" t="s">
        <v>38</v>
      </c>
      <c r="D17">
        <v>46</v>
      </c>
      <c r="E17">
        <v>24</v>
      </c>
      <c r="F17">
        <v>4</v>
      </c>
    </row>
    <row r="18" spans="1:6" x14ac:dyDescent="0.25">
      <c r="C18" t="s">
        <v>39</v>
      </c>
      <c r="D18">
        <v>40</v>
      </c>
      <c r="E18">
        <v>28</v>
      </c>
      <c r="F18">
        <v>2</v>
      </c>
    </row>
    <row r="20" spans="1:6" x14ac:dyDescent="0.25">
      <c r="A20" s="23" t="s">
        <v>100</v>
      </c>
    </row>
    <row r="22" spans="1:6" x14ac:dyDescent="0.25">
      <c r="A22" t="s">
        <v>36</v>
      </c>
      <c r="B22" t="s">
        <v>37</v>
      </c>
      <c r="C22" t="s">
        <v>98</v>
      </c>
      <c r="D22" t="s">
        <v>101</v>
      </c>
    </row>
    <row r="23" spans="1:6" x14ac:dyDescent="0.25">
      <c r="A23" t="s">
        <v>35</v>
      </c>
      <c r="B23">
        <v>800</v>
      </c>
      <c r="C23">
        <v>3</v>
      </c>
      <c r="D23" s="5">
        <f>B23*C23</f>
        <v>2400</v>
      </c>
    </row>
    <row r="24" spans="1:6" x14ac:dyDescent="0.25">
      <c r="A24" t="s">
        <v>38</v>
      </c>
      <c r="B24">
        <v>500</v>
      </c>
      <c r="C24">
        <v>4</v>
      </c>
      <c r="D24" s="5">
        <f t="shared" ref="D24:D25" si="0">B24*C24</f>
        <v>2000</v>
      </c>
    </row>
    <row r="25" spans="1:6" x14ac:dyDescent="0.25">
      <c r="A25" t="s">
        <v>39</v>
      </c>
      <c r="B25">
        <v>300</v>
      </c>
      <c r="C25">
        <v>2</v>
      </c>
      <c r="D25" s="13">
        <f t="shared" si="0"/>
        <v>600</v>
      </c>
    </row>
    <row r="26" spans="1:6" x14ac:dyDescent="0.25">
      <c r="A26" t="s">
        <v>102</v>
      </c>
      <c r="D26" s="7">
        <f>SUM(D23:D25)</f>
        <v>5000</v>
      </c>
    </row>
    <row r="27" spans="1:6" x14ac:dyDescent="0.25">
      <c r="A27" t="s">
        <v>103</v>
      </c>
      <c r="B27">
        <v>300</v>
      </c>
      <c r="C27">
        <v>4</v>
      </c>
      <c r="D27" s="13">
        <f>+B27*C27</f>
        <v>1200</v>
      </c>
    </row>
    <row r="28" spans="1:6" x14ac:dyDescent="0.25">
      <c r="A28" t="s">
        <v>104</v>
      </c>
      <c r="D28" s="7">
        <f>SUM(D26:D27)</f>
        <v>6200</v>
      </c>
    </row>
    <row r="29" spans="1:6" x14ac:dyDescent="0.25">
      <c r="A29" t="s">
        <v>105</v>
      </c>
      <c r="D29" s="5">
        <v>3800</v>
      </c>
    </row>
    <row r="30" spans="1:6" ht="15.75" thickBot="1" x14ac:dyDescent="0.3">
      <c r="A30" s="3" t="s">
        <v>106</v>
      </c>
      <c r="B30" s="3"/>
      <c r="C30" s="3"/>
      <c r="D30" s="26">
        <f>D28-D29</f>
        <v>2400</v>
      </c>
    </row>
    <row r="31" spans="1:6" ht="15.75" thickTop="1" x14ac:dyDescent="0.25"/>
    <row r="32" spans="1:6" x14ac:dyDescent="0.25">
      <c r="A32" t="s">
        <v>107</v>
      </c>
    </row>
    <row r="34" spans="1:15" x14ac:dyDescent="0.25">
      <c r="C34" s="34" t="s">
        <v>35</v>
      </c>
      <c r="D34" s="34" t="s">
        <v>38</v>
      </c>
      <c r="E34" s="34" t="s">
        <v>39</v>
      </c>
    </row>
    <row r="35" spans="1:15" x14ac:dyDescent="0.25">
      <c r="A35" t="s">
        <v>32</v>
      </c>
      <c r="C35" s="5">
        <v>48</v>
      </c>
      <c r="D35" s="5">
        <v>46</v>
      </c>
      <c r="E35" s="5">
        <v>40</v>
      </c>
    </row>
    <row r="36" spans="1:15" x14ac:dyDescent="0.25">
      <c r="A36" t="s">
        <v>108</v>
      </c>
      <c r="C36" s="5">
        <v>-33</v>
      </c>
      <c r="D36" s="5">
        <v>-24</v>
      </c>
      <c r="E36" s="5">
        <v>-28</v>
      </c>
    </row>
    <row r="37" spans="1:15" x14ac:dyDescent="0.25">
      <c r="A37" t="s">
        <v>34</v>
      </c>
      <c r="C37" s="7">
        <f>SUM(C35:C36)</f>
        <v>15</v>
      </c>
      <c r="D37" s="7">
        <f>SUM(D35:D36)</f>
        <v>22</v>
      </c>
      <c r="E37" s="7">
        <f>SUM(E35:E36)</f>
        <v>12</v>
      </c>
    </row>
    <row r="38" spans="1:15" x14ac:dyDescent="0.25">
      <c r="A38" t="s">
        <v>109</v>
      </c>
      <c r="C38" s="5">
        <v>3</v>
      </c>
      <c r="D38" s="5">
        <v>4</v>
      </c>
      <c r="E38" s="5">
        <v>2</v>
      </c>
      <c r="J38" t="s">
        <v>39</v>
      </c>
      <c r="K38">
        <f>+B45</f>
        <v>300</v>
      </c>
      <c r="L38" s="7">
        <f>+E37</f>
        <v>12</v>
      </c>
      <c r="M38" s="7">
        <f>K38*L38</f>
        <v>3600</v>
      </c>
    </row>
    <row r="39" spans="1:15" x14ac:dyDescent="0.25">
      <c r="A39" t="s">
        <v>110</v>
      </c>
      <c r="C39" s="5">
        <f>C37/C38</f>
        <v>5</v>
      </c>
      <c r="D39" s="5">
        <f>D37/D38</f>
        <v>5.5</v>
      </c>
      <c r="E39" s="5">
        <f>E37/E38</f>
        <v>6</v>
      </c>
      <c r="J39" t="s">
        <v>38</v>
      </c>
      <c r="K39">
        <f>+B46</f>
        <v>500</v>
      </c>
      <c r="L39" s="7">
        <f>+D37</f>
        <v>22</v>
      </c>
      <c r="M39" s="7">
        <f t="shared" ref="M39:M40" si="1">K39*L39</f>
        <v>11000</v>
      </c>
    </row>
    <row r="40" spans="1:15" x14ac:dyDescent="0.25">
      <c r="A40" s="3" t="s">
        <v>40</v>
      </c>
      <c r="B40" s="3"/>
      <c r="C40" s="33">
        <v>3</v>
      </c>
      <c r="D40" s="33">
        <v>2</v>
      </c>
      <c r="E40" s="33">
        <v>1</v>
      </c>
      <c r="J40" t="s">
        <v>35</v>
      </c>
      <c r="K40">
        <f>+B47</f>
        <v>400</v>
      </c>
      <c r="L40" s="7">
        <f>+C37</f>
        <v>15</v>
      </c>
      <c r="M40" s="7">
        <f t="shared" si="1"/>
        <v>6000</v>
      </c>
    </row>
    <row r="41" spans="1:15" ht="15.75" thickBot="1" x14ac:dyDescent="0.3">
      <c r="M41" s="11">
        <f>SUM(M38:M40)</f>
        <v>20600</v>
      </c>
    </row>
    <row r="42" spans="1:15" ht="15.75" thickTop="1" x14ac:dyDescent="0.25">
      <c r="A42" t="s">
        <v>111</v>
      </c>
    </row>
    <row r="44" spans="1:15" x14ac:dyDescent="0.25">
      <c r="A44" t="s">
        <v>36</v>
      </c>
      <c r="B44" t="s">
        <v>112</v>
      </c>
      <c r="C44" t="s">
        <v>98</v>
      </c>
      <c r="D44" s="27" t="s">
        <v>10</v>
      </c>
      <c r="J44" t="s">
        <v>39</v>
      </c>
      <c r="K44">
        <f>+K38</f>
        <v>300</v>
      </c>
      <c r="L44" s="7">
        <f>+L38</f>
        <v>12</v>
      </c>
      <c r="M44" s="7">
        <f>K44*L44</f>
        <v>3600</v>
      </c>
    </row>
    <row r="45" spans="1:15" x14ac:dyDescent="0.25">
      <c r="A45" t="s">
        <v>39</v>
      </c>
      <c r="B45">
        <v>300</v>
      </c>
      <c r="C45" s="7">
        <f>+E38</f>
        <v>2</v>
      </c>
      <c r="D45" s="7">
        <f>B45*C45</f>
        <v>600</v>
      </c>
      <c r="J45" t="s">
        <v>119</v>
      </c>
      <c r="K45">
        <f>+K39</f>
        <v>500</v>
      </c>
      <c r="L45" s="7">
        <f t="shared" ref="L45" si="2">+L39</f>
        <v>22</v>
      </c>
      <c r="M45" s="7">
        <f t="shared" ref="M45:M46" si="3">K45*L45</f>
        <v>11000</v>
      </c>
    </row>
    <row r="46" spans="1:15" x14ac:dyDescent="0.25">
      <c r="A46" t="s">
        <v>113</v>
      </c>
      <c r="B46">
        <v>500</v>
      </c>
      <c r="C46" s="7">
        <f>+D38</f>
        <v>4</v>
      </c>
      <c r="D46" s="7">
        <f>+B46*C46</f>
        <v>2000</v>
      </c>
      <c r="E46" s="7">
        <f>+D48-D45</f>
        <v>3200</v>
      </c>
      <c r="J46" t="s">
        <v>120</v>
      </c>
      <c r="K46">
        <v>300</v>
      </c>
      <c r="L46" s="25">
        <v>20</v>
      </c>
      <c r="M46" s="7">
        <f t="shared" si="3"/>
        <v>6000</v>
      </c>
      <c r="N46" t="s">
        <v>121</v>
      </c>
      <c r="O46">
        <f>45-24</f>
        <v>21</v>
      </c>
    </row>
    <row r="47" spans="1:15" ht="15.75" thickBot="1" x14ac:dyDescent="0.3">
      <c r="A47" t="s">
        <v>35</v>
      </c>
      <c r="B47" s="28">
        <f>D47/C47</f>
        <v>400</v>
      </c>
      <c r="C47" s="7">
        <f>+C38</f>
        <v>3</v>
      </c>
      <c r="D47" s="24">
        <v>1200</v>
      </c>
      <c r="E47" s="7">
        <f>+E46-D46</f>
        <v>1200</v>
      </c>
      <c r="M47" s="11">
        <f>SUM(M44:M46)</f>
        <v>20600</v>
      </c>
    </row>
    <row r="48" spans="1:15" ht="16.5" thickTop="1" thickBot="1" x14ac:dyDescent="0.3">
      <c r="D48" s="35">
        <v>3800</v>
      </c>
    </row>
    <row r="49" spans="1:6" ht="15.75" thickTop="1" x14ac:dyDescent="0.25"/>
    <row r="50" spans="1:6" x14ac:dyDescent="0.25">
      <c r="A50" t="s">
        <v>114</v>
      </c>
    </row>
    <row r="52" spans="1:6" x14ac:dyDescent="0.25">
      <c r="A52" t="s">
        <v>16</v>
      </c>
      <c r="B52" s="7">
        <f>-D36</f>
        <v>24</v>
      </c>
    </row>
    <row r="53" spans="1:6" x14ac:dyDescent="0.25">
      <c r="A53" t="s">
        <v>115</v>
      </c>
      <c r="B53" s="5">
        <v>20</v>
      </c>
      <c r="C53" t="s">
        <v>116</v>
      </c>
    </row>
    <row r="54" spans="1:6" x14ac:dyDescent="0.25">
      <c r="C54" t="s">
        <v>118</v>
      </c>
    </row>
    <row r="55" spans="1:6" x14ac:dyDescent="0.25">
      <c r="C55" t="s">
        <v>117</v>
      </c>
      <c r="D55" s="5">
        <f>400*15</f>
        <v>6000</v>
      </c>
      <c r="E55" s="5">
        <v>300</v>
      </c>
      <c r="F55" s="7">
        <f>D55/E55</f>
        <v>20</v>
      </c>
    </row>
    <row r="56" spans="1:6" ht="15.75" thickBot="1" x14ac:dyDescent="0.3">
      <c r="A56" s="3" t="s">
        <v>132</v>
      </c>
      <c r="B56" s="26">
        <f>SUM(B52:B55)</f>
        <v>44</v>
      </c>
    </row>
    <row r="57" spans="1:6" ht="15.75" thickTop="1" x14ac:dyDescent="0.25"/>
    <row r="59" spans="1:6" x14ac:dyDescent="0.25">
      <c r="A59" s="23" t="s">
        <v>122</v>
      </c>
    </row>
    <row r="61" spans="1:6" x14ac:dyDescent="0.25">
      <c r="A61" t="s">
        <v>36</v>
      </c>
      <c r="B61" t="s">
        <v>37</v>
      </c>
      <c r="C61" t="s">
        <v>98</v>
      </c>
      <c r="D61" t="s">
        <v>101</v>
      </c>
    </row>
    <row r="62" spans="1:6" x14ac:dyDescent="0.25">
      <c r="A62" t="s">
        <v>35</v>
      </c>
      <c r="B62">
        <v>800</v>
      </c>
      <c r="C62">
        <v>3</v>
      </c>
      <c r="D62" s="5">
        <f>B62*C62</f>
        <v>2400</v>
      </c>
    </row>
    <row r="63" spans="1:6" x14ac:dyDescent="0.25">
      <c r="A63" t="s">
        <v>38</v>
      </c>
      <c r="B63">
        <v>500</v>
      </c>
      <c r="C63">
        <v>4</v>
      </c>
      <c r="D63" s="5">
        <f t="shared" ref="D63:D64" si="4">B63*C63</f>
        <v>2000</v>
      </c>
    </row>
    <row r="64" spans="1:6" x14ac:dyDescent="0.25">
      <c r="A64" t="s">
        <v>39</v>
      </c>
      <c r="B64">
        <v>300</v>
      </c>
      <c r="C64">
        <v>2</v>
      </c>
      <c r="D64" s="13">
        <f t="shared" si="4"/>
        <v>600</v>
      </c>
    </row>
    <row r="65" spans="1:13" x14ac:dyDescent="0.25">
      <c r="A65" t="s">
        <v>102</v>
      </c>
      <c r="D65" s="7">
        <f>SUM(D62:D64)</f>
        <v>5000</v>
      </c>
    </row>
    <row r="66" spans="1:13" x14ac:dyDescent="0.25">
      <c r="A66" t="s">
        <v>103</v>
      </c>
      <c r="B66">
        <v>300</v>
      </c>
      <c r="C66">
        <v>4</v>
      </c>
      <c r="D66" s="13">
        <f>+B66*C66</f>
        <v>1200</v>
      </c>
    </row>
    <row r="67" spans="1:13" x14ac:dyDescent="0.25">
      <c r="A67" t="s">
        <v>104</v>
      </c>
      <c r="D67" s="7">
        <f>SUM(D65:D66)</f>
        <v>6200</v>
      </c>
    </row>
    <row r="68" spans="1:13" x14ac:dyDescent="0.25">
      <c r="A68" t="s">
        <v>123</v>
      </c>
      <c r="D68" s="5">
        <v>5600</v>
      </c>
    </row>
    <row r="69" spans="1:13" ht="15.75" thickBot="1" x14ac:dyDescent="0.3">
      <c r="A69" s="3" t="s">
        <v>106</v>
      </c>
      <c r="B69" s="3"/>
      <c r="C69" s="3"/>
      <c r="D69" s="26">
        <f>D67-D68</f>
        <v>600</v>
      </c>
    </row>
    <row r="70" spans="1:13" ht="15.75" thickTop="1" x14ac:dyDescent="0.25"/>
    <row r="71" spans="1:13" x14ac:dyDescent="0.25">
      <c r="A71" t="s">
        <v>107</v>
      </c>
    </row>
    <row r="73" spans="1:13" x14ac:dyDescent="0.25">
      <c r="C73" s="34" t="s">
        <v>35</v>
      </c>
      <c r="D73" s="34" t="s">
        <v>38</v>
      </c>
      <c r="E73" s="34" t="s">
        <v>39</v>
      </c>
    </row>
    <row r="74" spans="1:13" x14ac:dyDescent="0.25">
      <c r="A74" t="s">
        <v>32</v>
      </c>
      <c r="C74" s="5">
        <v>48</v>
      </c>
      <c r="D74" s="5">
        <v>46</v>
      </c>
      <c r="E74" s="5">
        <v>40</v>
      </c>
    </row>
    <row r="75" spans="1:13" x14ac:dyDescent="0.25">
      <c r="A75" t="s">
        <v>108</v>
      </c>
      <c r="C75" s="5">
        <v>-33</v>
      </c>
      <c r="D75" s="5">
        <v>-24</v>
      </c>
      <c r="E75" s="5">
        <v>-28</v>
      </c>
    </row>
    <row r="76" spans="1:13" x14ac:dyDescent="0.25">
      <c r="A76" t="s">
        <v>34</v>
      </c>
      <c r="C76" s="7">
        <f>SUM(C74:C75)</f>
        <v>15</v>
      </c>
      <c r="D76" s="7">
        <f>SUM(D74:D75)</f>
        <v>22</v>
      </c>
      <c r="E76" s="7">
        <f>SUM(E74:E75)</f>
        <v>12</v>
      </c>
    </row>
    <row r="77" spans="1:13" x14ac:dyDescent="0.25">
      <c r="A77" t="s">
        <v>109</v>
      </c>
      <c r="C77" s="5">
        <v>3</v>
      </c>
      <c r="D77" s="5">
        <v>4</v>
      </c>
      <c r="E77" s="5">
        <v>2</v>
      </c>
      <c r="J77" t="s">
        <v>39</v>
      </c>
      <c r="K77">
        <f>+B84</f>
        <v>300</v>
      </c>
      <c r="L77" s="7">
        <f>+E76</f>
        <v>12</v>
      </c>
      <c r="M77" s="7">
        <f>K77*L77</f>
        <v>3600</v>
      </c>
    </row>
    <row r="78" spans="1:13" x14ac:dyDescent="0.25">
      <c r="A78" t="s">
        <v>110</v>
      </c>
      <c r="C78" s="5">
        <f>C76/C77</f>
        <v>5</v>
      </c>
      <c r="D78" s="5">
        <f>D76/D77</f>
        <v>5.5</v>
      </c>
      <c r="E78" s="5">
        <f>E76/E77</f>
        <v>6</v>
      </c>
      <c r="J78" t="s">
        <v>119</v>
      </c>
      <c r="K78">
        <f>+B85</f>
        <v>500</v>
      </c>
      <c r="L78" s="7">
        <f>+D76</f>
        <v>22</v>
      </c>
      <c r="M78" s="7">
        <f t="shared" ref="M78:M80" si="5">K78*L78</f>
        <v>11000</v>
      </c>
    </row>
    <row r="79" spans="1:13" x14ac:dyDescent="0.25">
      <c r="A79" s="3" t="s">
        <v>40</v>
      </c>
      <c r="B79" s="3"/>
      <c r="C79" s="33">
        <v>3</v>
      </c>
      <c r="D79" s="33">
        <v>2</v>
      </c>
      <c r="E79" s="33">
        <v>1</v>
      </c>
      <c r="J79" t="s">
        <v>35</v>
      </c>
      <c r="K79">
        <f>+B86</f>
        <v>800</v>
      </c>
      <c r="L79" s="7">
        <f>+C76</f>
        <v>15</v>
      </c>
      <c r="M79" s="7">
        <f t="shared" si="5"/>
        <v>12000</v>
      </c>
    </row>
    <row r="80" spans="1:13" x14ac:dyDescent="0.25">
      <c r="J80" t="s">
        <v>129</v>
      </c>
      <c r="K80">
        <v>150</v>
      </c>
      <c r="L80" s="5">
        <v>0</v>
      </c>
      <c r="M80" s="7">
        <f t="shared" si="5"/>
        <v>0</v>
      </c>
    </row>
    <row r="81" spans="1:15" ht="15.75" thickBot="1" x14ac:dyDescent="0.3">
      <c r="A81" t="s">
        <v>111</v>
      </c>
      <c r="M81" s="11">
        <f>SUM(M77:M80)</f>
        <v>26600</v>
      </c>
    </row>
    <row r="82" spans="1:15" ht="15.75" thickTop="1" x14ac:dyDescent="0.25"/>
    <row r="83" spans="1:15" x14ac:dyDescent="0.25">
      <c r="A83" t="s">
        <v>36</v>
      </c>
      <c r="B83" t="s">
        <v>112</v>
      </c>
      <c r="C83" t="s">
        <v>98</v>
      </c>
      <c r="D83" s="27" t="s">
        <v>10</v>
      </c>
      <c r="J83" t="s">
        <v>39</v>
      </c>
      <c r="K83">
        <f>+K77</f>
        <v>300</v>
      </c>
      <c r="L83" s="7">
        <f>+L77</f>
        <v>12</v>
      </c>
      <c r="M83" s="7">
        <f>K83*L83</f>
        <v>3600</v>
      </c>
    </row>
    <row r="84" spans="1:15" x14ac:dyDescent="0.25">
      <c r="A84" t="s">
        <v>39</v>
      </c>
      <c r="B84" s="5">
        <v>300</v>
      </c>
      <c r="C84" s="7">
        <f>+E77</f>
        <v>2</v>
      </c>
      <c r="D84" s="7">
        <f>B84*C84</f>
        <v>600</v>
      </c>
      <c r="J84" t="s">
        <v>119</v>
      </c>
      <c r="K84">
        <f>+K78</f>
        <v>500</v>
      </c>
      <c r="L84" s="7">
        <f t="shared" ref="L84" si="6">+L78</f>
        <v>22</v>
      </c>
      <c r="M84" s="7">
        <f t="shared" ref="M84" si="7">K84*L84</f>
        <v>11000</v>
      </c>
    </row>
    <row r="85" spans="1:15" x14ac:dyDescent="0.25">
      <c r="A85" t="s">
        <v>113</v>
      </c>
      <c r="B85" s="5">
        <v>500</v>
      </c>
      <c r="C85" s="7">
        <f>+D77</f>
        <v>4</v>
      </c>
      <c r="D85" s="7">
        <f>+B85*C85</f>
        <v>2000</v>
      </c>
      <c r="E85" s="7">
        <f>+D88-D84</f>
        <v>5000</v>
      </c>
      <c r="J85" t="s">
        <v>35</v>
      </c>
      <c r="K85">
        <v>600</v>
      </c>
      <c r="L85" s="7">
        <f>+C76</f>
        <v>15</v>
      </c>
      <c r="M85" s="7">
        <f>+K85*L85</f>
        <v>9000</v>
      </c>
    </row>
    <row r="86" spans="1:15" x14ac:dyDescent="0.25">
      <c r="A86" t="s">
        <v>35</v>
      </c>
      <c r="B86" s="36">
        <v>800</v>
      </c>
      <c r="C86" s="7">
        <f>+C77</f>
        <v>3</v>
      </c>
      <c r="D86" s="36">
        <f>B86*C86</f>
        <v>2400</v>
      </c>
      <c r="E86" s="7">
        <f>+E85-D85</f>
        <v>3000</v>
      </c>
      <c r="J86" t="s">
        <v>120</v>
      </c>
      <c r="K86">
        <v>300</v>
      </c>
      <c r="L86" s="25">
        <v>10</v>
      </c>
      <c r="M86" s="7">
        <f>K86*L86</f>
        <v>3000</v>
      </c>
      <c r="N86" t="s">
        <v>130</v>
      </c>
      <c r="O86">
        <f>45-24</f>
        <v>21</v>
      </c>
    </row>
    <row r="87" spans="1:15" ht="15.75" thickBot="1" x14ac:dyDescent="0.3">
      <c r="A87" t="s">
        <v>124</v>
      </c>
      <c r="B87" s="24">
        <f>D87/C87</f>
        <v>150</v>
      </c>
      <c r="C87" s="5">
        <v>4</v>
      </c>
      <c r="D87" s="5">
        <v>600</v>
      </c>
      <c r="E87" s="7">
        <f>+D88-D84-D85-D86</f>
        <v>600</v>
      </c>
      <c r="M87" s="11">
        <f>SUM(M83:M86)</f>
        <v>26600</v>
      </c>
    </row>
    <row r="88" spans="1:15" ht="16.5" thickTop="1" thickBot="1" x14ac:dyDescent="0.3">
      <c r="D88" s="35">
        <v>5600</v>
      </c>
    </row>
    <row r="89" spans="1:15" ht="15.75" thickTop="1" x14ac:dyDescent="0.25">
      <c r="D89" s="16"/>
    </row>
    <row r="90" spans="1:15" x14ac:dyDescent="0.25">
      <c r="A90" t="s">
        <v>114</v>
      </c>
    </row>
    <row r="92" spans="1:15" x14ac:dyDescent="0.25">
      <c r="A92" t="s">
        <v>16</v>
      </c>
      <c r="B92" s="7">
        <f>-D75</f>
        <v>24</v>
      </c>
    </row>
    <row r="93" spans="1:15" x14ac:dyDescent="0.25">
      <c r="A93" t="s">
        <v>125</v>
      </c>
      <c r="B93" s="5">
        <v>10</v>
      </c>
      <c r="C93" t="s">
        <v>116</v>
      </c>
    </row>
    <row r="94" spans="1:15" x14ac:dyDescent="0.25">
      <c r="C94" t="s">
        <v>126</v>
      </c>
    </row>
    <row r="95" spans="1:15" x14ac:dyDescent="0.25">
      <c r="C95" t="s">
        <v>127</v>
      </c>
      <c r="D95" s="5" t="s">
        <v>128</v>
      </c>
      <c r="E95" s="5">
        <v>300</v>
      </c>
      <c r="F95" s="7">
        <f>3000/300</f>
        <v>10</v>
      </c>
    </row>
    <row r="96" spans="1:15" ht="15.75" thickBot="1" x14ac:dyDescent="0.3">
      <c r="A96" s="3" t="s">
        <v>132</v>
      </c>
      <c r="B96" s="26">
        <f>SUM(B92:B95)</f>
        <v>34</v>
      </c>
    </row>
    <row r="97" spans="1:4" ht="15.75" thickTop="1" x14ac:dyDescent="0.25"/>
    <row r="99" spans="1:4" x14ac:dyDescent="0.25">
      <c r="A99" s="23" t="s">
        <v>131</v>
      </c>
    </row>
    <row r="101" spans="1:4" x14ac:dyDescent="0.25">
      <c r="A101" t="s">
        <v>36</v>
      </c>
      <c r="B101" t="s">
        <v>37</v>
      </c>
      <c r="C101" t="s">
        <v>98</v>
      </c>
      <c r="D101" t="s">
        <v>101</v>
      </c>
    </row>
    <row r="102" spans="1:4" x14ac:dyDescent="0.25">
      <c r="A102" t="s">
        <v>35</v>
      </c>
      <c r="B102">
        <v>800</v>
      </c>
      <c r="C102">
        <v>3</v>
      </c>
      <c r="D102" s="5">
        <f>B102*C102</f>
        <v>2400</v>
      </c>
    </row>
    <row r="103" spans="1:4" x14ac:dyDescent="0.25">
      <c r="A103" t="s">
        <v>38</v>
      </c>
      <c r="B103">
        <v>500</v>
      </c>
      <c r="C103">
        <v>4</v>
      </c>
      <c r="D103" s="5">
        <f t="shared" ref="D103:D104" si="8">B103*C103</f>
        <v>2000</v>
      </c>
    </row>
    <row r="104" spans="1:4" x14ac:dyDescent="0.25">
      <c r="A104" t="s">
        <v>39</v>
      </c>
      <c r="B104">
        <v>300</v>
      </c>
      <c r="C104">
        <v>2</v>
      </c>
      <c r="D104" s="13">
        <f t="shared" si="8"/>
        <v>600</v>
      </c>
    </row>
    <row r="105" spans="1:4" x14ac:dyDescent="0.25">
      <c r="A105" t="s">
        <v>102</v>
      </c>
      <c r="D105" s="7">
        <f>SUM(D102:D104)</f>
        <v>5000</v>
      </c>
    </row>
    <row r="106" spans="1:4" x14ac:dyDescent="0.25">
      <c r="A106" t="s">
        <v>103</v>
      </c>
      <c r="B106">
        <v>300</v>
      </c>
      <c r="C106">
        <v>4</v>
      </c>
      <c r="D106" s="13">
        <f>+B106*C106</f>
        <v>1200</v>
      </c>
    </row>
    <row r="107" spans="1:4" x14ac:dyDescent="0.25">
      <c r="A107" t="s">
        <v>104</v>
      </c>
      <c r="D107" s="7">
        <f>SUM(D105:D106)</f>
        <v>6200</v>
      </c>
    </row>
    <row r="108" spans="1:4" x14ac:dyDescent="0.25">
      <c r="A108" t="s">
        <v>123</v>
      </c>
      <c r="D108" s="5">
        <v>6200</v>
      </c>
    </row>
    <row r="109" spans="1:4" ht="15.75" thickBot="1" x14ac:dyDescent="0.3">
      <c r="A109" s="3" t="s">
        <v>106</v>
      </c>
      <c r="B109" s="3"/>
      <c r="C109" s="3"/>
      <c r="D109" s="26">
        <f>D107-D108</f>
        <v>0</v>
      </c>
    </row>
    <row r="110" spans="1:4" ht="15.75" thickTop="1" x14ac:dyDescent="0.25"/>
    <row r="111" spans="1:4" x14ac:dyDescent="0.25">
      <c r="A111" t="s">
        <v>107</v>
      </c>
    </row>
    <row r="113" spans="1:13" x14ac:dyDescent="0.25">
      <c r="C113" s="34" t="s">
        <v>35</v>
      </c>
      <c r="D113" s="34" t="s">
        <v>38</v>
      </c>
      <c r="E113" s="34" t="s">
        <v>39</v>
      </c>
    </row>
    <row r="114" spans="1:13" x14ac:dyDescent="0.25">
      <c r="A114" t="s">
        <v>32</v>
      </c>
      <c r="C114" s="5">
        <v>48</v>
      </c>
      <c r="D114" s="5">
        <v>46</v>
      </c>
      <c r="E114" s="5">
        <v>40</v>
      </c>
    </row>
    <row r="115" spans="1:13" x14ac:dyDescent="0.25">
      <c r="A115" t="s">
        <v>108</v>
      </c>
      <c r="C115" s="5">
        <v>-33</v>
      </c>
      <c r="D115" s="5">
        <v>-24</v>
      </c>
      <c r="E115" s="5">
        <v>-28</v>
      </c>
    </row>
    <row r="116" spans="1:13" x14ac:dyDescent="0.25">
      <c r="A116" t="s">
        <v>34</v>
      </c>
      <c r="C116" s="7">
        <f>SUM(C114:C115)</f>
        <v>15</v>
      </c>
      <c r="D116" s="7">
        <f>SUM(D114:D115)</f>
        <v>22</v>
      </c>
      <c r="E116" s="7">
        <f>SUM(E114:E115)</f>
        <v>12</v>
      </c>
    </row>
    <row r="117" spans="1:13" x14ac:dyDescent="0.25">
      <c r="A117" t="s">
        <v>109</v>
      </c>
      <c r="C117" s="5">
        <v>3</v>
      </c>
      <c r="D117" s="5">
        <v>4</v>
      </c>
      <c r="E117" s="5">
        <v>2</v>
      </c>
      <c r="L117" s="7"/>
      <c r="M117" s="7"/>
    </row>
    <row r="118" spans="1:13" x14ac:dyDescent="0.25">
      <c r="A118" t="s">
        <v>110</v>
      </c>
      <c r="C118" s="5">
        <f>C116/C117</f>
        <v>5</v>
      </c>
      <c r="D118" s="5">
        <f>D116/D117</f>
        <v>5.5</v>
      </c>
      <c r="E118" s="5">
        <f>E116/E117</f>
        <v>6</v>
      </c>
      <c r="L118" s="7"/>
      <c r="M118" s="7"/>
    </row>
    <row r="119" spans="1:13" x14ac:dyDescent="0.25">
      <c r="A119" s="3" t="s">
        <v>40</v>
      </c>
      <c r="B119" s="3"/>
      <c r="C119" s="33">
        <v>3</v>
      </c>
      <c r="D119" s="33">
        <v>2</v>
      </c>
      <c r="E119" s="33">
        <v>1</v>
      </c>
      <c r="L119" s="7"/>
      <c r="M119" s="7"/>
    </row>
    <row r="120" spans="1:13" x14ac:dyDescent="0.25">
      <c r="L120" s="37"/>
      <c r="M120" s="7"/>
    </row>
    <row r="121" spans="1:13" x14ac:dyDescent="0.25">
      <c r="A121" t="s">
        <v>111</v>
      </c>
      <c r="M121" s="7"/>
    </row>
    <row r="123" spans="1:13" x14ac:dyDescent="0.25">
      <c r="A123" t="s">
        <v>36</v>
      </c>
      <c r="B123" t="s">
        <v>112</v>
      </c>
      <c r="C123" t="s">
        <v>98</v>
      </c>
      <c r="D123" s="27" t="s">
        <v>10</v>
      </c>
      <c r="L123" s="7"/>
      <c r="M123" s="7"/>
    </row>
    <row r="124" spans="1:13" x14ac:dyDescent="0.25">
      <c r="A124" t="s">
        <v>39</v>
      </c>
      <c r="B124" s="5">
        <v>300</v>
      </c>
      <c r="C124" s="7">
        <f>+E117</f>
        <v>2</v>
      </c>
      <c r="D124" s="7">
        <f>B124*C124</f>
        <v>600</v>
      </c>
      <c r="L124" s="7"/>
      <c r="M124" s="7"/>
    </row>
    <row r="125" spans="1:13" x14ac:dyDescent="0.25">
      <c r="A125" t="s">
        <v>113</v>
      </c>
      <c r="B125" s="5">
        <v>500</v>
      </c>
      <c r="C125" s="7">
        <f>+D117</f>
        <v>4</v>
      </c>
      <c r="D125" s="7">
        <f>+B125*C125</f>
        <v>2000</v>
      </c>
      <c r="E125" s="7">
        <f>+D128-D124</f>
        <v>5600</v>
      </c>
      <c r="L125" s="7"/>
      <c r="M125" s="7"/>
    </row>
    <row r="126" spans="1:13" x14ac:dyDescent="0.25">
      <c r="A126" t="s">
        <v>35</v>
      </c>
      <c r="B126" s="36">
        <v>800</v>
      </c>
      <c r="C126" s="7">
        <f>+C117</f>
        <v>3</v>
      </c>
      <c r="D126" s="36">
        <f>B126*C126</f>
        <v>2400</v>
      </c>
      <c r="E126" s="7">
        <f>+E125-D125</f>
        <v>3600</v>
      </c>
      <c r="L126" s="7"/>
      <c r="M126" s="7"/>
    </row>
    <row r="127" spans="1:13" x14ac:dyDescent="0.25">
      <c r="A127" t="s">
        <v>124</v>
      </c>
      <c r="B127" s="24">
        <v>300</v>
      </c>
      <c r="C127" s="5">
        <v>4</v>
      </c>
      <c r="D127" s="5">
        <f>B127*C127</f>
        <v>1200</v>
      </c>
      <c r="E127" s="7">
        <f>+D128-D124-D125-D126</f>
        <v>1200</v>
      </c>
      <c r="M127" s="7"/>
    </row>
    <row r="128" spans="1:13" ht="15.75" thickBot="1" x14ac:dyDescent="0.3">
      <c r="D128" s="35">
        <f>SUM(D124:D127)</f>
        <v>6200</v>
      </c>
    </row>
    <row r="129" spans="1:6" ht="15.75" thickTop="1" x14ac:dyDescent="0.25">
      <c r="D129" s="16"/>
    </row>
    <row r="130" spans="1:6" x14ac:dyDescent="0.25">
      <c r="A130" t="s">
        <v>114</v>
      </c>
    </row>
    <row r="132" spans="1:6" x14ac:dyDescent="0.25">
      <c r="A132" t="s">
        <v>16</v>
      </c>
      <c r="B132" s="7">
        <f>-D115</f>
        <v>24</v>
      </c>
    </row>
    <row r="133" spans="1:6" x14ac:dyDescent="0.25">
      <c r="A133" t="s">
        <v>125</v>
      </c>
      <c r="B133" s="5">
        <v>0</v>
      </c>
    </row>
    <row r="135" spans="1:6" x14ac:dyDescent="0.25">
      <c r="D135" s="5"/>
      <c r="E135" s="5"/>
      <c r="F135" s="7"/>
    </row>
    <row r="136" spans="1:6" ht="15.75" thickBot="1" x14ac:dyDescent="0.3">
      <c r="A136" s="3" t="s">
        <v>132</v>
      </c>
      <c r="B136" s="26">
        <f>SUM(B132:B135)</f>
        <v>24</v>
      </c>
    </row>
    <row r="137" spans="1:6" ht="15.75" thickTop="1" x14ac:dyDescent="0.25"/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workbookViewId="0">
      <selection activeCell="E21" sqref="E21"/>
    </sheetView>
  </sheetViews>
  <sheetFormatPr defaultRowHeight="15" x14ac:dyDescent="0.25"/>
  <cols>
    <col min="1" max="1" width="16.5703125" customWidth="1"/>
    <col min="2" max="2" width="12.140625" bestFit="1" customWidth="1"/>
    <col min="3" max="3" width="11.28515625" bestFit="1" customWidth="1"/>
  </cols>
  <sheetData>
    <row r="2" spans="1:3" x14ac:dyDescent="0.25">
      <c r="A2" s="4" t="s">
        <v>163</v>
      </c>
    </row>
    <row r="4" spans="1:3" x14ac:dyDescent="0.25">
      <c r="A4" s="23" t="s">
        <v>164</v>
      </c>
    </row>
    <row r="6" spans="1:3" x14ac:dyDescent="0.25">
      <c r="A6" t="s">
        <v>7</v>
      </c>
      <c r="C6" s="5">
        <v>70000</v>
      </c>
    </row>
    <row r="7" spans="1:3" x14ac:dyDescent="0.25">
      <c r="A7" t="s">
        <v>165</v>
      </c>
      <c r="B7" t="s">
        <v>166</v>
      </c>
      <c r="C7" s="5">
        <f>-500000*0.1</f>
        <v>-50000</v>
      </c>
    </row>
    <row r="8" spans="1:3" ht="15.75" thickBot="1" x14ac:dyDescent="0.3">
      <c r="A8" t="s">
        <v>167</v>
      </c>
      <c r="C8" s="11">
        <f>SUM(C6:C7)</f>
        <v>20000</v>
      </c>
    </row>
    <row r="9" spans="1:3" ht="15.75" thickTop="1" x14ac:dyDescent="0.25"/>
    <row r="11" spans="1:3" x14ac:dyDescent="0.25">
      <c r="A11" s="23" t="s">
        <v>168</v>
      </c>
    </row>
    <row r="13" spans="1:3" x14ac:dyDescent="0.25">
      <c r="A13" t="s">
        <v>7</v>
      </c>
      <c r="C13" s="5">
        <v>72200</v>
      </c>
    </row>
    <row r="14" spans="1:3" x14ac:dyDescent="0.25">
      <c r="A14" t="s">
        <v>165</v>
      </c>
      <c r="B14" t="s">
        <v>169</v>
      </c>
      <c r="C14" s="5">
        <f>-520000*0.1</f>
        <v>-52000</v>
      </c>
    </row>
    <row r="15" spans="1:3" ht="15.75" thickBot="1" x14ac:dyDescent="0.3">
      <c r="A15" t="s">
        <v>167</v>
      </c>
      <c r="C15" s="11">
        <f>SUM(C13:C14)</f>
        <v>20200</v>
      </c>
    </row>
    <row r="16" spans="1:3" ht="15.75" thickTop="1" x14ac:dyDescent="0.25"/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"/>
  <sheetViews>
    <sheetView workbookViewId="0">
      <selection activeCell="G21" sqref="G21"/>
    </sheetView>
  </sheetViews>
  <sheetFormatPr defaultRowHeight="15" x14ac:dyDescent="0.25"/>
  <cols>
    <col min="1" max="1" width="35" customWidth="1"/>
    <col min="10" max="10" width="23.85546875" bestFit="1" customWidth="1"/>
  </cols>
  <sheetData>
    <row r="2" spans="1:11" x14ac:dyDescent="0.25">
      <c r="A2" s="4" t="s">
        <v>170</v>
      </c>
      <c r="B2" t="s">
        <v>171</v>
      </c>
    </row>
    <row r="4" spans="1:11" x14ac:dyDescent="0.25">
      <c r="A4" t="s">
        <v>171</v>
      </c>
      <c r="B4" s="39" t="s">
        <v>172</v>
      </c>
      <c r="C4" t="s">
        <v>173</v>
      </c>
      <c r="D4" s="39" t="s">
        <v>174</v>
      </c>
      <c r="E4" t="s">
        <v>175</v>
      </c>
      <c r="J4" t="s">
        <v>185</v>
      </c>
      <c r="K4" s="5">
        <v>128</v>
      </c>
    </row>
    <row r="5" spans="1:11" x14ac:dyDescent="0.25">
      <c r="B5" s="39" t="s">
        <v>172</v>
      </c>
      <c r="C5" s="7">
        <f>+C15</f>
        <v>37.5</v>
      </c>
      <c r="D5" s="39" t="s">
        <v>174</v>
      </c>
      <c r="E5" t="s">
        <v>188</v>
      </c>
      <c r="J5" t="s">
        <v>186</v>
      </c>
      <c r="K5" s="5">
        <v>44</v>
      </c>
    </row>
    <row r="6" spans="1:11" x14ac:dyDescent="0.25">
      <c r="B6" s="39" t="s">
        <v>172</v>
      </c>
      <c r="C6" s="7">
        <f>+C5</f>
        <v>37.5</v>
      </c>
      <c r="D6" s="39" t="s">
        <v>174</v>
      </c>
      <c r="E6">
        <f>178*12%</f>
        <v>21.36</v>
      </c>
      <c r="J6" t="s">
        <v>187</v>
      </c>
      <c r="K6" s="5">
        <f>+D14</f>
        <v>6</v>
      </c>
    </row>
    <row r="7" spans="1:11" ht="15.75" thickBot="1" x14ac:dyDescent="0.3">
      <c r="B7" s="39" t="s">
        <v>172</v>
      </c>
      <c r="C7" s="11">
        <f>C6-E6</f>
        <v>16.14</v>
      </c>
      <c r="K7" s="7">
        <f>SUM(K4:K6)</f>
        <v>178</v>
      </c>
    </row>
    <row r="8" spans="1:11" ht="15.75" thickTop="1" x14ac:dyDescent="0.25"/>
    <row r="9" spans="1:11" x14ac:dyDescent="0.25">
      <c r="A9" s="4" t="s">
        <v>176</v>
      </c>
    </row>
    <row r="10" spans="1:11" x14ac:dyDescent="0.25">
      <c r="C10" s="27" t="s">
        <v>178</v>
      </c>
    </row>
    <row r="11" spans="1:11" x14ac:dyDescent="0.25">
      <c r="A11" t="s">
        <v>177</v>
      </c>
      <c r="C11" s="5">
        <v>42</v>
      </c>
    </row>
    <row r="12" spans="1:11" x14ac:dyDescent="0.25">
      <c r="A12" t="s">
        <v>179</v>
      </c>
      <c r="B12" t="s">
        <v>180</v>
      </c>
      <c r="C12" s="5">
        <f>-C11*0.25</f>
        <v>-10.5</v>
      </c>
    </row>
    <row r="13" spans="1:11" x14ac:dyDescent="0.25">
      <c r="A13" t="s">
        <v>181</v>
      </c>
      <c r="C13" s="5">
        <v>8</v>
      </c>
    </row>
    <row r="14" spans="1:11" x14ac:dyDescent="0.25">
      <c r="A14" t="s">
        <v>182</v>
      </c>
      <c r="B14" t="s">
        <v>183</v>
      </c>
      <c r="C14" s="5">
        <f>-C13/4</f>
        <v>-2</v>
      </c>
      <c r="D14" s="40">
        <f>SUM(C13:C14)</f>
        <v>6</v>
      </c>
      <c r="E14" s="2" t="s">
        <v>184</v>
      </c>
    </row>
    <row r="15" spans="1:11" ht="15.75" thickBot="1" x14ac:dyDescent="0.3">
      <c r="A15" t="s">
        <v>173</v>
      </c>
      <c r="C15" s="11">
        <f>SUM(C11:C14)</f>
        <v>37.5</v>
      </c>
    </row>
    <row r="16" spans="1:11" ht="15.75" thickTop="1" x14ac:dyDescent="0.25"/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6"/>
  <sheetViews>
    <sheetView workbookViewId="0">
      <selection activeCell="H22" sqref="H22"/>
    </sheetView>
  </sheetViews>
  <sheetFormatPr defaultRowHeight="15" x14ac:dyDescent="0.25"/>
  <cols>
    <col min="2" max="2" width="20.28515625" customWidth="1"/>
    <col min="3" max="3" width="10.42578125" customWidth="1"/>
    <col min="4" max="4" width="11.42578125" customWidth="1"/>
    <col min="5" max="5" width="9.5703125" bestFit="1" customWidth="1"/>
    <col min="8" max="8" width="19.7109375" customWidth="1"/>
    <col min="9" max="9" width="14.85546875" customWidth="1"/>
    <col min="10" max="10" width="17.42578125" bestFit="1" customWidth="1"/>
    <col min="11" max="11" width="9.5703125" bestFit="1" customWidth="1"/>
  </cols>
  <sheetData>
    <row r="2" spans="1:13" x14ac:dyDescent="0.25">
      <c r="A2" s="4" t="s">
        <v>133</v>
      </c>
    </row>
    <row r="4" spans="1:13" x14ac:dyDescent="0.25">
      <c r="B4" s="4"/>
    </row>
    <row r="6" spans="1:13" x14ac:dyDescent="0.25">
      <c r="C6" s="5"/>
    </row>
    <row r="7" spans="1:13" x14ac:dyDescent="0.25">
      <c r="C7" s="1"/>
      <c r="G7" s="5"/>
    </row>
    <row r="10" spans="1:13" x14ac:dyDescent="0.25">
      <c r="B10" t="s">
        <v>134</v>
      </c>
      <c r="H10" s="5"/>
    </row>
    <row r="11" spans="1:13" x14ac:dyDescent="0.25">
      <c r="B11" s="1" t="s">
        <v>135</v>
      </c>
      <c r="H11" s="5"/>
      <c r="M11" s="5"/>
    </row>
    <row r="12" spans="1:13" x14ac:dyDescent="0.25">
      <c r="H12" s="5"/>
    </row>
    <row r="15" spans="1:13" x14ac:dyDescent="0.25">
      <c r="D15" s="2"/>
      <c r="E15" t="s">
        <v>12</v>
      </c>
      <c r="J15" t="s">
        <v>13</v>
      </c>
      <c r="M15" s="2"/>
    </row>
    <row r="17" spans="1:9" x14ac:dyDescent="0.25">
      <c r="D17" t="s">
        <v>136</v>
      </c>
      <c r="E17" s="5">
        <v>5000</v>
      </c>
      <c r="F17">
        <v>125</v>
      </c>
    </row>
    <row r="18" spans="1:9" x14ac:dyDescent="0.25">
      <c r="D18" t="s">
        <v>81</v>
      </c>
      <c r="E18" s="5">
        <f>+E17/F17*F18</f>
        <v>1000</v>
      </c>
      <c r="F18">
        <v>25</v>
      </c>
    </row>
    <row r="19" spans="1:9" x14ac:dyDescent="0.25">
      <c r="D19" t="s">
        <v>31</v>
      </c>
      <c r="E19" s="7">
        <f>E17-E18</f>
        <v>4000</v>
      </c>
      <c r="F19">
        <v>100</v>
      </c>
    </row>
    <row r="20" spans="1:9" x14ac:dyDescent="0.25">
      <c r="D20" t="s">
        <v>137</v>
      </c>
      <c r="E20" s="5">
        <f>+E19*0.75</f>
        <v>3000</v>
      </c>
    </row>
    <row r="21" spans="1:9" x14ac:dyDescent="0.25">
      <c r="D21" t="s">
        <v>138</v>
      </c>
      <c r="E21" s="5">
        <f>+E19*0.25</f>
        <v>1000</v>
      </c>
    </row>
    <row r="23" spans="1:9" x14ac:dyDescent="0.25">
      <c r="D23" t="s">
        <v>139</v>
      </c>
      <c r="G23" t="s">
        <v>140</v>
      </c>
    </row>
    <row r="25" spans="1:9" x14ac:dyDescent="0.25">
      <c r="A25" s="23" t="s">
        <v>141</v>
      </c>
    </row>
    <row r="26" spans="1:9" x14ac:dyDescent="0.25">
      <c r="A26" s="18" t="s">
        <v>142</v>
      </c>
    </row>
    <row r="28" spans="1:9" x14ac:dyDescent="0.25">
      <c r="A28" s="4" t="s">
        <v>143</v>
      </c>
      <c r="B28" t="s">
        <v>144</v>
      </c>
      <c r="G28" s="4" t="s">
        <v>148</v>
      </c>
      <c r="H28" t="s">
        <v>149</v>
      </c>
    </row>
    <row r="30" spans="1:9" x14ac:dyDescent="0.25">
      <c r="B30" t="s">
        <v>16</v>
      </c>
      <c r="D30" s="7">
        <f>+E20</f>
        <v>3000</v>
      </c>
      <c r="G30" t="s">
        <v>57</v>
      </c>
      <c r="I30" s="7">
        <f>+E17</f>
        <v>5000</v>
      </c>
    </row>
    <row r="31" spans="1:9" x14ac:dyDescent="0.25">
      <c r="B31" t="s">
        <v>145</v>
      </c>
      <c r="C31" t="s">
        <v>146</v>
      </c>
      <c r="D31" s="5">
        <v>2000</v>
      </c>
      <c r="G31" t="s">
        <v>147</v>
      </c>
      <c r="I31" s="5">
        <v>-500</v>
      </c>
    </row>
    <row r="32" spans="1:9" ht="15.75" thickBot="1" x14ac:dyDescent="0.3">
      <c r="B32" t="s">
        <v>147</v>
      </c>
      <c r="D32" s="5">
        <v>-500</v>
      </c>
      <c r="G32" t="s">
        <v>150</v>
      </c>
      <c r="I32" s="11">
        <f>SUM(I30:I31)</f>
        <v>4500</v>
      </c>
    </row>
    <row r="33" spans="1:11" ht="16.5" thickTop="1" thickBot="1" x14ac:dyDescent="0.3">
      <c r="B33" t="s">
        <v>150</v>
      </c>
      <c r="D33" s="11">
        <f>SUM(D30:D32)</f>
        <v>4500</v>
      </c>
    </row>
    <row r="34" spans="1:11" ht="15.75" thickTop="1" x14ac:dyDescent="0.25"/>
    <row r="35" spans="1:11" x14ac:dyDescent="0.25">
      <c r="A35" s="23" t="s">
        <v>151</v>
      </c>
    </row>
    <row r="36" spans="1:11" x14ac:dyDescent="0.25">
      <c r="A36" s="18" t="s">
        <v>152</v>
      </c>
    </row>
    <row r="38" spans="1:11" x14ac:dyDescent="0.25">
      <c r="B38" t="s">
        <v>153</v>
      </c>
      <c r="C38" t="s">
        <v>144</v>
      </c>
      <c r="H38" s="23" t="s">
        <v>153</v>
      </c>
    </row>
    <row r="39" spans="1:11" x14ac:dyDescent="0.25">
      <c r="B39" t="s">
        <v>154</v>
      </c>
      <c r="C39" t="s">
        <v>155</v>
      </c>
      <c r="H39" t="s">
        <v>16</v>
      </c>
      <c r="J39" s="7">
        <f>+D30</f>
        <v>3000</v>
      </c>
    </row>
    <row r="40" spans="1:11" x14ac:dyDescent="0.25">
      <c r="H40" t="s">
        <v>145</v>
      </c>
      <c r="I40" t="s">
        <v>146</v>
      </c>
      <c r="J40" s="5">
        <v>2000</v>
      </c>
    </row>
    <row r="41" spans="1:11" x14ac:dyDescent="0.25">
      <c r="H41" t="s">
        <v>147</v>
      </c>
      <c r="J41" s="5">
        <v>-500</v>
      </c>
    </row>
    <row r="42" spans="1:11" ht="15.75" thickBot="1" x14ac:dyDescent="0.3">
      <c r="H42" t="s">
        <v>150</v>
      </c>
      <c r="J42" s="11">
        <f>SUM(J39:J41)</f>
        <v>4500</v>
      </c>
      <c r="K42" s="5"/>
    </row>
    <row r="43" spans="1:11" ht="15.75" thickTop="1" x14ac:dyDescent="0.25">
      <c r="K43" s="5"/>
    </row>
    <row r="44" spans="1:11" ht="15.75" thickBot="1" x14ac:dyDescent="0.3">
      <c r="H44" s="23" t="s">
        <v>154</v>
      </c>
      <c r="J44" s="11">
        <f>+J39</f>
        <v>3000</v>
      </c>
      <c r="K44" s="5"/>
    </row>
    <row r="45" spans="1:11" ht="15.75" thickTop="1" x14ac:dyDescent="0.25">
      <c r="K45" s="5"/>
    </row>
    <row r="46" spans="1:11" x14ac:dyDescent="0.25">
      <c r="A46" s="23" t="s">
        <v>156</v>
      </c>
    </row>
    <row r="47" spans="1:11" x14ac:dyDescent="0.25">
      <c r="A47" s="18" t="s">
        <v>157</v>
      </c>
    </row>
    <row r="49" spans="1:10" ht="15.75" thickBot="1" x14ac:dyDescent="0.3">
      <c r="B49" t="s">
        <v>153</v>
      </c>
      <c r="C49" t="s">
        <v>159</v>
      </c>
      <c r="D49" t="s">
        <v>155</v>
      </c>
      <c r="H49" t="s">
        <v>153</v>
      </c>
      <c r="J49" s="11">
        <f>+J44</f>
        <v>3000</v>
      </c>
    </row>
    <row r="50" spans="1:10" ht="15.75" thickTop="1" x14ac:dyDescent="0.25">
      <c r="A50" s="38" t="s">
        <v>161</v>
      </c>
      <c r="B50" t="s">
        <v>158</v>
      </c>
      <c r="C50" t="s">
        <v>160</v>
      </c>
      <c r="D50" t="s">
        <v>144</v>
      </c>
    </row>
    <row r="51" spans="1:10" x14ac:dyDescent="0.25">
      <c r="H51" t="s">
        <v>158</v>
      </c>
    </row>
    <row r="52" spans="1:10" x14ac:dyDescent="0.25">
      <c r="H52" t="s">
        <v>16</v>
      </c>
      <c r="J52" s="7">
        <f>+J49</f>
        <v>3000</v>
      </c>
    </row>
    <row r="53" spans="1:10" x14ac:dyDescent="0.25">
      <c r="H53" t="s">
        <v>17</v>
      </c>
      <c r="I53" t="s">
        <v>162</v>
      </c>
      <c r="J53" s="5">
        <f>2000000/2000</f>
        <v>1000</v>
      </c>
    </row>
    <row r="54" spans="1:10" x14ac:dyDescent="0.25">
      <c r="H54" t="s">
        <v>147</v>
      </c>
      <c r="J54" s="5">
        <v>-500</v>
      </c>
    </row>
    <row r="55" spans="1:10" ht="15.75" thickBot="1" x14ac:dyDescent="0.3">
      <c r="J55" s="11">
        <f>SUM(J52:J54)</f>
        <v>3500</v>
      </c>
    </row>
    <row r="56" spans="1:10" ht="15.75" thickTop="1" x14ac:dyDescent="0.25"/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705111C6CE9A4D9A32EDD3CE4225B6" ma:contentTypeVersion="2" ma:contentTypeDescription="Create a new document." ma:contentTypeScope="" ma:versionID="65a55d3207c9bb9e6d7f68b455286c2a">
  <xsd:schema xmlns:xsd="http://www.w3.org/2001/XMLSchema" xmlns:xs="http://www.w3.org/2001/XMLSchema" xmlns:p="http://schemas.microsoft.com/office/2006/metadata/properties" xmlns:ns2="894abf72-65ba-408b-9569-bc5346983487" targetNamespace="http://schemas.microsoft.com/office/2006/metadata/properties" ma:root="true" ma:fieldsID="82607859529cf660e07889a740458c09" ns2:_="">
    <xsd:import namespace="894abf72-65ba-408b-9569-bc53469834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4abf72-65ba-408b-9569-bc53469834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4DA343-785F-44FC-BA6E-9D4BD8990B1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B16E33E-B3CC-4748-89CA-729ABCCD24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E29E9B-ADE3-46F2-83CC-98C820123C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4abf72-65ba-408b-9569-bc53469834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Intro</vt:lpstr>
      <vt:lpstr>E1</vt:lpstr>
      <vt:lpstr>E2</vt:lpstr>
      <vt:lpstr>E3</vt:lpstr>
      <vt:lpstr>E4</vt:lpstr>
      <vt:lpstr>E5</vt:lpstr>
      <vt:lpstr>E7</vt:lpstr>
      <vt:lpstr>E8</vt:lpstr>
      <vt:lpstr>Q1</vt:lpstr>
      <vt:lpstr>Q2</vt:lpstr>
      <vt:lpstr>Q3</vt:lpstr>
      <vt:lpstr>Q4</vt:lpstr>
      <vt:lpstr>Q5</vt:lpstr>
      <vt:lpstr>Q8</vt:lpstr>
      <vt:lpstr>2020 Jul Q7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2023-05-20T05:49:41Z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0x01010087705111C6CE9A4D9A32EDD3CE4225B6</vt:lpwstr>
  </property>
</Properties>
</file>