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tabRatio="786" activeTab="16"/>
  </bookViews>
  <sheets>
    <sheet name="Sheet1" sheetId="1" r:id="rId1"/>
    <sheet name="E1" sheetId="3" r:id="rId2"/>
    <sheet name="E2" sheetId="4" r:id="rId3"/>
    <sheet name="E3" sheetId="5" r:id="rId4"/>
    <sheet name="E4" sheetId="6" r:id="rId5"/>
    <sheet name="E5" sheetId="7" r:id="rId6"/>
    <sheet name="E7" sheetId="8" r:id="rId7"/>
    <sheet name="E8" sheetId="9" r:id="rId8"/>
    <sheet name="E9" sheetId="10" r:id="rId9"/>
    <sheet name="E10" sheetId="11" r:id="rId10"/>
    <sheet name="E11" sheetId="12" r:id="rId11"/>
    <sheet name="E15" sheetId="13" r:id="rId12"/>
    <sheet name="E20" sheetId="14" r:id="rId13"/>
    <sheet name="Q1" sheetId="15" r:id="rId14"/>
    <sheet name="Q2" sheetId="16" r:id="rId15"/>
    <sheet name="Q3" sheetId="17" r:id="rId16"/>
    <sheet name="Q4" sheetId="18" r:id="rId17"/>
  </sheets>
  <calcPr calcId="181029"/>
</workbook>
</file>

<file path=xl/calcChain.xml><?xml version="1.0" encoding="utf-8"?>
<calcChain xmlns="http://schemas.openxmlformats.org/spreadsheetml/2006/main">
  <c r="E11" i="9" l="1"/>
  <c r="D10" i="9"/>
  <c r="F10" i="9" s="1"/>
  <c r="D9" i="9"/>
  <c r="F9" i="9" s="1"/>
  <c r="F8" i="9"/>
  <c r="D8" i="9"/>
  <c r="F7" i="9"/>
  <c r="D7" i="9"/>
  <c r="D6" i="9"/>
  <c r="F6" i="9" s="1"/>
  <c r="D5" i="9"/>
  <c r="F5" i="9" s="1"/>
  <c r="D33" i="14"/>
  <c r="D29" i="14"/>
  <c r="H29" i="14" s="1"/>
  <c r="C15" i="14"/>
  <c r="D16" i="14" s="1"/>
  <c r="C12" i="14"/>
  <c r="D13" i="14" s="1"/>
  <c r="K9" i="14"/>
  <c r="B9" i="15"/>
  <c r="C8" i="15"/>
  <c r="F8" i="15" s="1"/>
  <c r="C16" i="15" s="1"/>
  <c r="C7" i="15"/>
  <c r="F7" i="15" s="1"/>
  <c r="C15" i="15" s="1"/>
  <c r="F6" i="15"/>
  <c r="C14" i="15" s="1"/>
  <c r="C6" i="15"/>
  <c r="C9" i="15" s="1"/>
  <c r="D80" i="18"/>
  <c r="B74" i="18"/>
  <c r="B70" i="18"/>
  <c r="C58" i="18"/>
  <c r="D58" i="18" s="1"/>
  <c r="C55" i="18"/>
  <c r="D55" i="18" s="1"/>
  <c r="C54" i="18"/>
  <c r="D54" i="18" s="1"/>
  <c r="D47" i="18"/>
  <c r="E46" i="18"/>
  <c r="D45" i="18"/>
  <c r="C42" i="18"/>
  <c r="E42" i="18" s="1"/>
  <c r="C40" i="18"/>
  <c r="E39" i="18"/>
  <c r="D33" i="18"/>
  <c r="D31" i="18"/>
  <c r="D23" i="18"/>
  <c r="C23" i="18"/>
  <c r="D20" i="18"/>
  <c r="C20" i="18"/>
  <c r="C19" i="18"/>
  <c r="D19" i="18" s="1"/>
  <c r="E7" i="18"/>
  <c r="B44" i="18" s="1"/>
  <c r="E5" i="18"/>
  <c r="B43" i="18" s="1"/>
  <c r="B45" i="18" s="1"/>
  <c r="B47" i="18" s="1"/>
  <c r="D11" i="9" l="1"/>
  <c r="F11" i="9" s="1"/>
  <c r="C21" i="14"/>
  <c r="C23" i="14" s="1"/>
  <c r="D18" i="14"/>
  <c r="C22" i="14" s="1"/>
  <c r="C17" i="15"/>
  <c r="D21" i="18"/>
  <c r="D24" i="18"/>
  <c r="D25" i="18" s="1"/>
  <c r="D27" i="18" s="1"/>
  <c r="D56" i="18"/>
  <c r="D59" i="18"/>
  <c r="D60" i="18" s="1"/>
  <c r="D62" i="18" s="1"/>
  <c r="E40" i="18"/>
  <c r="B33" i="14" l="1"/>
  <c r="H33" i="14" s="1"/>
  <c r="C6" i="14"/>
  <c r="D64" i="18"/>
  <c r="D29" i="18"/>
  <c r="E6" i="14" l="1"/>
  <c r="C7" i="14"/>
  <c r="E7" i="14" s="1"/>
  <c r="D70" i="18"/>
  <c r="C43" i="18"/>
  <c r="C44" i="18"/>
  <c r="E44" i="18" s="1"/>
  <c r="D74" i="18"/>
  <c r="E43" i="18" l="1"/>
  <c r="C45" i="18"/>
  <c r="B80" i="18"/>
  <c r="H80" i="18" s="1"/>
  <c r="H70" i="18"/>
  <c r="B84" i="18"/>
  <c r="H84" i="18" s="1"/>
  <c r="H74" i="18"/>
  <c r="E45" i="18" l="1"/>
  <c r="C47" i="18"/>
  <c r="E47" i="18" s="1"/>
  <c r="G13" i="13" l="1"/>
  <c r="E53" i="16"/>
  <c r="E52" i="16"/>
  <c r="E51" i="16"/>
  <c r="E50" i="16"/>
  <c r="E49" i="16"/>
  <c r="C53" i="16"/>
  <c r="C51" i="16"/>
  <c r="C50" i="16"/>
  <c r="C49" i="16"/>
  <c r="D53" i="16"/>
  <c r="G26" i="16"/>
  <c r="G27" i="16" s="1"/>
  <c r="F44" i="16"/>
  <c r="F43" i="16"/>
  <c r="F41" i="16"/>
  <c r="E40" i="16"/>
  <c r="E38" i="16"/>
  <c r="E36" i="16"/>
  <c r="E37" i="16"/>
  <c r="D36" i="16"/>
  <c r="F34" i="16"/>
  <c r="C34" i="16"/>
  <c r="C33" i="16"/>
  <c r="C32" i="16"/>
  <c r="G25" i="16"/>
  <c r="G19" i="16"/>
  <c r="F19" i="16"/>
  <c r="G14" i="16"/>
  <c r="G12" i="16"/>
  <c r="F12" i="16"/>
  <c r="I4" i="16"/>
  <c r="D39" i="17"/>
  <c r="D38" i="17"/>
  <c r="D37" i="17"/>
  <c r="D36" i="17"/>
  <c r="D35" i="17"/>
  <c r="D34" i="17"/>
  <c r="D33" i="17"/>
  <c r="D32" i="17"/>
  <c r="G23" i="17"/>
  <c r="G22" i="17"/>
  <c r="G15" i="17"/>
  <c r="G14" i="17"/>
  <c r="G7" i="17"/>
  <c r="F29" i="17"/>
  <c r="F28" i="17"/>
  <c r="F27" i="17"/>
  <c r="D28" i="17"/>
  <c r="D26" i="17"/>
  <c r="F23" i="17"/>
  <c r="F22" i="17"/>
  <c r="F18" i="17"/>
  <c r="F19" i="17"/>
  <c r="F20" i="17"/>
  <c r="F21" i="17"/>
  <c r="F17" i="17"/>
  <c r="F15" i="17"/>
  <c r="F14" i="17"/>
  <c r="F10" i="17"/>
  <c r="F11" i="17"/>
  <c r="F12" i="17"/>
  <c r="F13" i="17"/>
  <c r="F9" i="17"/>
  <c r="F7" i="17"/>
  <c r="E15" i="17"/>
  <c r="E23" i="17" s="1"/>
  <c r="E22" i="17"/>
  <c r="E18" i="17"/>
  <c r="E19" i="17"/>
  <c r="E20" i="17"/>
  <c r="E21" i="17"/>
  <c r="E17" i="17"/>
  <c r="E14" i="17"/>
  <c r="E10" i="17"/>
  <c r="E11" i="17"/>
  <c r="E12" i="17"/>
  <c r="E13" i="17"/>
  <c r="E9" i="17"/>
  <c r="E7" i="17"/>
  <c r="D23" i="17"/>
  <c r="D22" i="17"/>
  <c r="D18" i="17"/>
  <c r="D19" i="17"/>
  <c r="D20" i="17"/>
  <c r="D21" i="17"/>
  <c r="D17" i="17"/>
  <c r="D10" i="17"/>
  <c r="D11" i="17"/>
  <c r="D12" i="17"/>
  <c r="D13" i="17"/>
  <c r="D14" i="17"/>
  <c r="D15" i="17"/>
  <c r="D9" i="17"/>
  <c r="D7" i="17"/>
  <c r="C23" i="17"/>
  <c r="C22" i="17"/>
  <c r="C15" i="17"/>
  <c r="C14" i="17"/>
  <c r="C21" i="17"/>
  <c r="C13" i="17"/>
  <c r="C20" i="17"/>
  <c r="C12" i="17"/>
  <c r="C19" i="17"/>
  <c r="C10" i="17"/>
  <c r="C18" i="17"/>
  <c r="C9" i="17"/>
  <c r="C7" i="17"/>
  <c r="G3" i="17"/>
  <c r="F15" i="12"/>
  <c r="F14" i="12"/>
  <c r="F13" i="12"/>
  <c r="F11" i="12"/>
  <c r="F10" i="12"/>
  <c r="F9" i="12"/>
  <c r="F8" i="12"/>
  <c r="F6" i="12"/>
  <c r="F5" i="12"/>
  <c r="D15" i="12"/>
  <c r="D14" i="12"/>
  <c r="D13" i="12"/>
  <c r="D11" i="12"/>
  <c r="D10" i="12"/>
  <c r="D9" i="12"/>
  <c r="D8" i="12"/>
  <c r="D6" i="12"/>
  <c r="E15" i="12"/>
  <c r="E11" i="12"/>
  <c r="B15" i="12"/>
  <c r="B11" i="12"/>
  <c r="F10" i="11"/>
  <c r="F9" i="11"/>
  <c r="F8" i="11"/>
  <c r="F7" i="11"/>
  <c r="F6" i="11"/>
  <c r="D10" i="11"/>
  <c r="D8" i="11"/>
  <c r="D7" i="11"/>
  <c r="D6" i="11"/>
  <c r="E10" i="11"/>
  <c r="E8" i="11"/>
  <c r="E7" i="11"/>
  <c r="E6" i="11"/>
  <c r="B10" i="11"/>
  <c r="B8" i="11"/>
  <c r="B7" i="11"/>
  <c r="B6" i="11"/>
  <c r="D11" i="10"/>
  <c r="D10" i="10"/>
  <c r="C10" i="10"/>
  <c r="C9" i="10"/>
  <c r="C8" i="10"/>
  <c r="J18" i="10"/>
  <c r="J17" i="10"/>
  <c r="J16" i="10"/>
  <c r="L14" i="10"/>
  <c r="L13" i="10"/>
  <c r="J13" i="10"/>
  <c r="L12" i="10"/>
  <c r="J12" i="10"/>
  <c r="C7" i="10"/>
  <c r="J7" i="10"/>
  <c r="J8" i="10"/>
  <c r="J6" i="10"/>
  <c r="J5" i="10"/>
  <c r="D4" i="10"/>
  <c r="G21" i="16" l="1"/>
  <c r="H18" i="7"/>
  <c r="F18" i="7"/>
  <c r="G18" i="7" s="1"/>
  <c r="E18" i="7"/>
  <c r="D18" i="7"/>
  <c r="C17" i="7"/>
  <c r="H15" i="7"/>
  <c r="G10" i="7"/>
  <c r="H10" i="7" s="1"/>
  <c r="I10" i="7" s="1"/>
  <c r="J10" i="7" s="1"/>
  <c r="K10" i="7" s="1"/>
  <c r="L10" i="7" s="1"/>
  <c r="M10" i="7" s="1"/>
  <c r="N10" i="7" s="1"/>
  <c r="O10" i="7" s="1"/>
  <c r="P10" i="7" s="1"/>
  <c r="F10" i="7"/>
  <c r="E10" i="7"/>
  <c r="F8" i="7"/>
  <c r="G8" i="7" s="1"/>
  <c r="H8" i="7" s="1"/>
  <c r="I8" i="7" s="1"/>
  <c r="J8" i="7" s="1"/>
  <c r="K8" i="7" s="1"/>
  <c r="L8" i="7" s="1"/>
  <c r="M8" i="7" s="1"/>
  <c r="N8" i="7" s="1"/>
  <c r="O8" i="7" s="1"/>
  <c r="E8" i="7"/>
  <c r="D8" i="7"/>
  <c r="F6" i="7"/>
  <c r="G6" i="7" s="1"/>
  <c r="H6" i="7" s="1"/>
  <c r="I6" i="7" s="1"/>
  <c r="J6" i="7" s="1"/>
  <c r="K6" i="7" s="1"/>
  <c r="L6" i="7" s="1"/>
  <c r="M6" i="7" s="1"/>
  <c r="N6" i="7" s="1"/>
  <c r="E6" i="7"/>
  <c r="D29" i="6"/>
  <c r="D28" i="6"/>
  <c r="D27" i="6"/>
  <c r="D26" i="6"/>
  <c r="D24" i="6"/>
  <c r="D23" i="6"/>
  <c r="D21" i="6"/>
  <c r="D20" i="6"/>
  <c r="C20" i="6"/>
  <c r="C19" i="6"/>
  <c r="C18" i="6"/>
  <c r="D15" i="6"/>
  <c r="C15" i="6"/>
  <c r="C14" i="6"/>
  <c r="C13" i="6"/>
  <c r="D10" i="6"/>
  <c r="C10" i="6"/>
  <c r="C9" i="6"/>
  <c r="C8" i="6"/>
  <c r="C9" i="5" l="1"/>
  <c r="C8" i="5"/>
  <c r="C7" i="5"/>
  <c r="C6" i="5"/>
  <c r="C5" i="5"/>
  <c r="E7" i="4"/>
  <c r="E6" i="4"/>
  <c r="C11" i="4"/>
  <c r="C10" i="4"/>
  <c r="C9" i="4"/>
  <c r="C8" i="4"/>
  <c r="C7" i="4"/>
  <c r="C6" i="4"/>
  <c r="D16" i="3" l="1"/>
  <c r="D14" i="3"/>
  <c r="D12" i="3"/>
  <c r="D11" i="3"/>
  <c r="D5" i="3"/>
  <c r="D7" i="3" s="1"/>
  <c r="D4" i="3"/>
  <c r="E37" i="1" l="1"/>
  <c r="D15" i="1"/>
</calcChain>
</file>

<file path=xl/sharedStrings.xml><?xml version="1.0" encoding="utf-8"?>
<sst xmlns="http://schemas.openxmlformats.org/spreadsheetml/2006/main" count="565" uniqueCount="384">
  <si>
    <t>Budget</t>
  </si>
  <si>
    <t>Exisitng</t>
  </si>
  <si>
    <t>+</t>
  </si>
  <si>
    <t>Plans</t>
  </si>
  <si>
    <t>=</t>
  </si>
  <si>
    <t>Forecast</t>
  </si>
  <si>
    <t>Future outcome</t>
  </si>
  <si>
    <t>Bank HO</t>
  </si>
  <si>
    <t>Bank Branch</t>
  </si>
  <si>
    <t>Cost of funds</t>
  </si>
  <si>
    <t>Lending rate</t>
  </si>
  <si>
    <t>Lending rate Max</t>
  </si>
  <si>
    <t>Lending rate Min</t>
  </si>
  <si>
    <t>Branch Margin</t>
  </si>
  <si>
    <t>Customer demand</t>
  </si>
  <si>
    <t>Polythene</t>
  </si>
  <si>
    <t>Min Price</t>
  </si>
  <si>
    <t>450/Kg</t>
  </si>
  <si>
    <t>50/Kg</t>
  </si>
  <si>
    <t>500/Kg</t>
  </si>
  <si>
    <t>Customer</t>
  </si>
  <si>
    <t>Sales Person</t>
  </si>
  <si>
    <t>440/Kg</t>
  </si>
  <si>
    <t>Cost</t>
  </si>
  <si>
    <t>420/Kg</t>
  </si>
  <si>
    <t>Top</t>
  </si>
  <si>
    <t>Down</t>
  </si>
  <si>
    <t>Up</t>
  </si>
  <si>
    <t>Bottom</t>
  </si>
  <si>
    <t>Imposed</t>
  </si>
  <si>
    <t>Participatory</t>
  </si>
  <si>
    <t>Directors</t>
  </si>
  <si>
    <t>Line managers</t>
  </si>
  <si>
    <t>Traditional Budget</t>
  </si>
  <si>
    <t>Last year AFS</t>
  </si>
  <si>
    <t>Electricity</t>
  </si>
  <si>
    <t>Next Year Budget</t>
  </si>
  <si>
    <t>Inflation</t>
  </si>
  <si>
    <t>Sins</t>
  </si>
  <si>
    <t>C/F</t>
  </si>
  <si>
    <t>Sins - new year</t>
  </si>
  <si>
    <t>Exercise 01</t>
  </si>
  <si>
    <t>a)</t>
  </si>
  <si>
    <t>20,000/1,000</t>
  </si>
  <si>
    <t>Actual cost</t>
  </si>
  <si>
    <t>b)</t>
  </si>
  <si>
    <t>Exercise 2</t>
  </si>
  <si>
    <t>Actual</t>
  </si>
  <si>
    <t>Doctors cost</t>
  </si>
  <si>
    <t>100,000*60</t>
  </si>
  <si>
    <t>37,000*150</t>
  </si>
  <si>
    <t>Other staff cost</t>
  </si>
  <si>
    <t>(200,000*70%/20,000*23,750)+(200,000*30%)</t>
  </si>
  <si>
    <t>(80,000*35%/20,000*23,750)+(80,000*65%)</t>
  </si>
  <si>
    <t>Other operating cost</t>
  </si>
  <si>
    <t>(1,200,000*30%/20,000*23,750)+(1,200,000*70%)</t>
  </si>
  <si>
    <t>105,000*60</t>
  </si>
  <si>
    <t>34,500*150</t>
  </si>
  <si>
    <t>Exercise 3</t>
  </si>
  <si>
    <t>504,000*40%</t>
  </si>
  <si>
    <t>201,600/350</t>
  </si>
  <si>
    <t>Adults</t>
  </si>
  <si>
    <t>Qty * Price</t>
  </si>
  <si>
    <t>Income from traders</t>
  </si>
  <si>
    <t>37,600,000*1.04</t>
  </si>
  <si>
    <t>7,950,000*1.04</t>
  </si>
  <si>
    <t>Budgeted income</t>
  </si>
  <si>
    <t>Quarter 1</t>
  </si>
  <si>
    <t>Quarter 2</t>
  </si>
  <si>
    <t>Quarter 3</t>
  </si>
  <si>
    <t>Quarter 4</t>
  </si>
  <si>
    <t>New Budget</t>
  </si>
  <si>
    <t>Variance</t>
  </si>
  <si>
    <t>Exercise 09</t>
  </si>
  <si>
    <t>W1</t>
  </si>
  <si>
    <t>W1 - Material cost</t>
  </si>
  <si>
    <t>Labour cost</t>
  </si>
  <si>
    <t>W2</t>
  </si>
  <si>
    <t>W2 - Labour cost</t>
  </si>
  <si>
    <t>205.82*500</t>
  </si>
  <si>
    <t>Total cost</t>
  </si>
  <si>
    <t>Material</t>
  </si>
  <si>
    <t>Catering</t>
  </si>
  <si>
    <t>Cleaning</t>
  </si>
  <si>
    <t>Budgeted VC per unit</t>
  </si>
  <si>
    <t>Budgeted cost of actual output</t>
  </si>
  <si>
    <t>Rs.20/ * 1,200</t>
  </si>
  <si>
    <t>Cost saving</t>
  </si>
  <si>
    <t>The company has done better.</t>
  </si>
  <si>
    <t>(20,000 - 10,000) /1,000</t>
  </si>
  <si>
    <t>Budgeted VC of actual output</t>
  </si>
  <si>
    <t>Rs.10/ * 1,200</t>
  </si>
  <si>
    <t>(+) Fixed cost</t>
  </si>
  <si>
    <t>Total budgeted cost of actual production</t>
  </si>
  <si>
    <t>Cost overrun</t>
  </si>
  <si>
    <t>The company has not done better.</t>
  </si>
  <si>
    <t>Comparable basis -------&gt;&gt;&gt; Apples &amp; Apples</t>
  </si>
  <si>
    <t>No. of patients</t>
  </si>
  <si>
    <t>Nurses</t>
  </si>
  <si>
    <t>1,440,000/20,00*23,750</t>
  </si>
  <si>
    <t>Deprecation</t>
  </si>
  <si>
    <t>Total VC</t>
  </si>
  <si>
    <t>672,000*75%</t>
  </si>
  <si>
    <t>VC of C</t>
  </si>
  <si>
    <t>VC per unit of C</t>
  </si>
  <si>
    <t>Expected cost per unit in 2019</t>
  </si>
  <si>
    <t>576*104%</t>
  </si>
  <si>
    <t>599.04*340</t>
  </si>
  <si>
    <t>Budgeted cost of C for 2019</t>
  </si>
  <si>
    <t>Exercise 04 -  Incremental budgeting</t>
  </si>
  <si>
    <t>Budgeted income statement for the year ended 30 Noovember 2019</t>
  </si>
  <si>
    <t>Budgeted income of amusement park</t>
  </si>
  <si>
    <t>1 Day admission passes</t>
  </si>
  <si>
    <t>Senior Citizen</t>
  </si>
  <si>
    <t>Children</t>
  </si>
  <si>
    <t>(2,090,400*40%*25%)*(40*1.04)</t>
  </si>
  <si>
    <t>(2,090,400*20%*25%)*(40*75%*1.04)</t>
  </si>
  <si>
    <t>(2,090,400*40%*25%)*(40*50%*1.04)</t>
  </si>
  <si>
    <t>2 Day admission passes</t>
  </si>
  <si>
    <t>(2,090,400*40%*75%/2)*(40*2*75%*1.04)</t>
  </si>
  <si>
    <t>(2,090,400*20%*75%/2)*(40*2*75%*75%*1.04)</t>
  </si>
  <si>
    <t>(2,090,400*40%*75%/2)*(40*2*50%*75%*1.04)</t>
  </si>
  <si>
    <t>Large</t>
  </si>
  <si>
    <t>Medium</t>
  </si>
  <si>
    <t>Small</t>
  </si>
  <si>
    <t>8*54,000</t>
  </si>
  <si>
    <t>12*36,000</t>
  </si>
  <si>
    <t>10*18,000</t>
  </si>
  <si>
    <t>Total budgeted income of amusement park</t>
  </si>
  <si>
    <t>(-) Operating cost</t>
  </si>
  <si>
    <t>Budgeted profit from amusement park</t>
  </si>
  <si>
    <t>Hotel income</t>
  </si>
  <si>
    <t>(240*365d)*(100*1.04)</t>
  </si>
  <si>
    <t>Hotel cost</t>
  </si>
  <si>
    <t>Budgeted profit from the hotel</t>
  </si>
  <si>
    <t>Total budgeted profit</t>
  </si>
  <si>
    <t>Exercise 05 - Rolling Budget</t>
  </si>
  <si>
    <t>Initial Budget</t>
  </si>
  <si>
    <t>Actual Result</t>
  </si>
  <si>
    <t>Add</t>
  </si>
  <si>
    <t>XXXX</t>
  </si>
  <si>
    <t>Current Year</t>
  </si>
  <si>
    <t>Original Sales Budget</t>
  </si>
  <si>
    <t>Rolling Sales Budget</t>
  </si>
  <si>
    <t>Next</t>
  </si>
  <si>
    <t>Total sales</t>
  </si>
  <si>
    <t>120,000/100 = 1,200 Batches * Rs.1,050</t>
  </si>
  <si>
    <t>(-) Cost</t>
  </si>
  <si>
    <t>01st 200 batches</t>
  </si>
  <si>
    <t>200*Rs.500</t>
  </si>
  <si>
    <t>02nd 200 batches</t>
  </si>
  <si>
    <t>200*Rs.500*90%</t>
  </si>
  <si>
    <t>Balance 800 batches</t>
  </si>
  <si>
    <t>800*Rs.500*90%*90%</t>
  </si>
  <si>
    <t>01st 700 batches</t>
  </si>
  <si>
    <t>y=ax^b 2,500*700^-0.3219</t>
  </si>
  <si>
    <t>01st 699 batches</t>
  </si>
  <si>
    <t>y=ax^b 2,500*699^-0.3219</t>
  </si>
  <si>
    <t>Labor cost of 700th batch</t>
  </si>
  <si>
    <t>Balance 500 batches</t>
  </si>
  <si>
    <t>VOH</t>
  </si>
  <si>
    <t>315,334.87/5Hrs*2Hrs</t>
  </si>
  <si>
    <t>Space</t>
  </si>
  <si>
    <t>15,000*12 months</t>
  </si>
  <si>
    <t>Budgeted net profit / cash flow</t>
  </si>
  <si>
    <t>Target net cash flow</t>
  </si>
  <si>
    <t>Target cash flow was not achived by S-Pro</t>
  </si>
  <si>
    <t>Exercise 10</t>
  </si>
  <si>
    <t>Fixed Budget</t>
  </si>
  <si>
    <t>Flex Budget</t>
  </si>
  <si>
    <t>Sales Qty</t>
  </si>
  <si>
    <t>Rs.Mn</t>
  </si>
  <si>
    <t>Sales Rs.</t>
  </si>
  <si>
    <t>(-) Variable cost</t>
  </si>
  <si>
    <t>Contribution</t>
  </si>
  <si>
    <t>(-) Fixed cost</t>
  </si>
  <si>
    <t>Profit</t>
  </si>
  <si>
    <t>250/5*6</t>
  </si>
  <si>
    <t>150/5*6</t>
  </si>
  <si>
    <t>A</t>
  </si>
  <si>
    <t>F</t>
  </si>
  <si>
    <t>Exercise 11</t>
  </si>
  <si>
    <t>Rs.000</t>
  </si>
  <si>
    <t>Sales qty</t>
  </si>
  <si>
    <t>Labour</t>
  </si>
  <si>
    <t>Production</t>
  </si>
  <si>
    <t>Administration</t>
  </si>
  <si>
    <t>250/10*11</t>
  </si>
  <si>
    <t>45/10*11</t>
  </si>
  <si>
    <t>60/10*11</t>
  </si>
  <si>
    <t>30/10*11</t>
  </si>
  <si>
    <t>Question 3</t>
  </si>
  <si>
    <t>Profit statement for the quarter ending 30th September 2017</t>
  </si>
  <si>
    <t>Fixed Annual Budget 100%</t>
  </si>
  <si>
    <t>Fixed Quaterly Budget 100%</t>
  </si>
  <si>
    <t>Fixed Quaterly Budget 90%</t>
  </si>
  <si>
    <t>380/400 = 95%</t>
  </si>
  <si>
    <t>Flex Quaterly Budget 95%</t>
  </si>
  <si>
    <t>Actual @ 95%</t>
  </si>
  <si>
    <t>Sales</t>
  </si>
  <si>
    <t>Sales W1</t>
  </si>
  <si>
    <t>400*90%=360</t>
  </si>
  <si>
    <t>Laundry</t>
  </si>
  <si>
    <t>Medical</t>
  </si>
  <si>
    <t>Other</t>
  </si>
  <si>
    <t>W1 - Actual sales</t>
  </si>
  <si>
    <t>Total bed days</t>
  </si>
  <si>
    <t>380*90</t>
  </si>
  <si>
    <t>High price</t>
  </si>
  <si>
    <t>Low price</t>
  </si>
  <si>
    <t>b) Profit reconciliation</t>
  </si>
  <si>
    <t>Quaterly profit as per fixed budget</t>
  </si>
  <si>
    <t>Sales variance</t>
  </si>
  <si>
    <t>Variable cost</t>
  </si>
  <si>
    <t>Quaterly profit as per flex budget</t>
  </si>
  <si>
    <t>Fixed cost</t>
  </si>
  <si>
    <t>Actual profit</t>
  </si>
  <si>
    <t>Questin 02</t>
  </si>
  <si>
    <t>3,000 Units - Up to May</t>
  </si>
  <si>
    <t>11,000 units in June</t>
  </si>
  <si>
    <t>Learning impact up to 5,000 units @ 90%</t>
  </si>
  <si>
    <t>3,000 to may and 2,000 in June</t>
  </si>
  <si>
    <t>Balance 9,000 in June Without LC</t>
  </si>
  <si>
    <t>A) i)</t>
  </si>
  <si>
    <t>Revised labour utilization for 01st 3,000 units</t>
  </si>
  <si>
    <t>Total time taken for 3,000 units</t>
  </si>
  <si>
    <t>y=ax^b</t>
  </si>
  <si>
    <t>8*3,000^-0.152</t>
  </si>
  <si>
    <t>Labour rate</t>
  </si>
  <si>
    <t>Revised labour cost</t>
  </si>
  <si>
    <t>A) ii)</t>
  </si>
  <si>
    <t>Revised labour utilization for 01st 5,000 units</t>
  </si>
  <si>
    <t>Total time taken for 5,000 units</t>
  </si>
  <si>
    <t>8*5,000^-0.152</t>
  </si>
  <si>
    <t>B) Assessing the performance of production manager</t>
  </si>
  <si>
    <t>Why production manager is happy?</t>
  </si>
  <si>
    <t>Standard labour consumtion for 11,000 units</t>
  </si>
  <si>
    <t>2.369*11,000*200</t>
  </si>
  <si>
    <t>Labour cost saving</t>
  </si>
  <si>
    <t>Production manager thinks that he has saved</t>
  </si>
  <si>
    <t>Recalculate labour cost in June with learning curve</t>
  </si>
  <si>
    <t>Labur cost of 2,000 units in June</t>
  </si>
  <si>
    <t>Labour time for 5,000 units</t>
  </si>
  <si>
    <t>Labour time for 3,000 units</t>
  </si>
  <si>
    <t>Labour time for 2,000 units</t>
  </si>
  <si>
    <t>Total time taken for 4,999 units</t>
  </si>
  <si>
    <t>8*4,999^-0.152</t>
  </si>
  <si>
    <t>Time taken to 5,000th unit</t>
  </si>
  <si>
    <t>Production after LC</t>
  </si>
  <si>
    <t>No. of hours</t>
  </si>
  <si>
    <t>Labour cost of 9,000 units in June</t>
  </si>
  <si>
    <t>Labor cost overrun by production manager</t>
  </si>
  <si>
    <t>Total labour hours should be</t>
  </si>
  <si>
    <t>Labour hours utilised</t>
  </si>
  <si>
    <t>Additonal labour hurs used by production manager</t>
  </si>
  <si>
    <t>417.06*Rs.200</t>
  </si>
  <si>
    <t>21,000*200</t>
  </si>
  <si>
    <t>Standard cost of actual hours</t>
  </si>
  <si>
    <t>c)</t>
  </si>
  <si>
    <t>Flex</t>
  </si>
  <si>
    <t>Output units</t>
  </si>
  <si>
    <t>FOH</t>
  </si>
  <si>
    <t>2*500*11,000</t>
  </si>
  <si>
    <t>20,582.94*Rs.200</t>
  </si>
  <si>
    <t>11,000*400</t>
  </si>
  <si>
    <t>550,000*110%*103%</t>
  </si>
  <si>
    <t>Question 4</t>
  </si>
  <si>
    <t>Revised Budget Rs. 000</t>
  </si>
  <si>
    <t>Direct labour (W1)</t>
  </si>
  <si>
    <t>1,258.03Hrs*Rs.1,000</t>
  </si>
  <si>
    <t>Variable Overhead</t>
  </si>
  <si>
    <t>1,258.03Hrs*Rs.750</t>
  </si>
  <si>
    <t>W1- Direct labour revised budget</t>
  </si>
  <si>
    <t>Month</t>
  </si>
  <si>
    <t>4th month under consideration</t>
  </si>
  <si>
    <t>9,000Units</t>
  </si>
  <si>
    <t>Bud. Pro 3,000 units</t>
  </si>
  <si>
    <t>LC 90% For 10,000</t>
  </si>
  <si>
    <t>10,000-9,000 = 1000 units</t>
  </si>
  <si>
    <t>under LC Effect</t>
  </si>
  <si>
    <t>12,000-10,000 = 2,000 units</t>
  </si>
  <si>
    <t>Labour time per unit = LT of 10,000th unit</t>
  </si>
  <si>
    <t>y = ax^b</t>
  </si>
  <si>
    <t>y = 2Hrs*10,000Units^-0.152</t>
  </si>
  <si>
    <t>Ave. time for 10,000 units</t>
  </si>
  <si>
    <t>2*10,000^-0.152</t>
  </si>
  <si>
    <t>Ave. time for 9,000 units</t>
  </si>
  <si>
    <t>2*9,000^-0.152</t>
  </si>
  <si>
    <t>Additonal labour hrs for 1000 units</t>
  </si>
  <si>
    <t>Ave. time for 9,999 units</t>
  </si>
  <si>
    <t>2*9,999^-0.152</t>
  </si>
  <si>
    <t>Time taken for the 10,000th units</t>
  </si>
  <si>
    <t>Additional labour hrs for 2,000 units</t>
  </si>
  <si>
    <t>0.4182*2000</t>
  </si>
  <si>
    <t>Total budgeted labour Hrs for 3,000 units in 04th month</t>
  </si>
  <si>
    <t>Rs.6,000,000/(2Hrs*3,000Units)</t>
  </si>
  <si>
    <t>VOH Rate</t>
  </si>
  <si>
    <t>Rs.4,500,000/(2Hrs*3,000Units)</t>
  </si>
  <si>
    <t>Budgetary Control Statement</t>
  </si>
  <si>
    <t>Revised Budget Rs.</t>
  </si>
  <si>
    <t>Flexible Budget Rs.</t>
  </si>
  <si>
    <t>Actual Rs.</t>
  </si>
  <si>
    <t>Variance Rs.</t>
  </si>
  <si>
    <t>Additional labour hrs for 1,500 units</t>
  </si>
  <si>
    <t>0.4182*1500</t>
  </si>
  <si>
    <t>C)</t>
  </si>
  <si>
    <t>Planning Variances</t>
  </si>
  <si>
    <t>Labour Efficiency</t>
  </si>
  <si>
    <t>Org. Hrs</t>
  </si>
  <si>
    <t>-</t>
  </si>
  <si>
    <t>Rev. Hrs</t>
  </si>
  <si>
    <t>*</t>
  </si>
  <si>
    <t>Org. Rate</t>
  </si>
  <si>
    <t>2Hrs*2,500</t>
  </si>
  <si>
    <t>VOH  Efficiency</t>
  </si>
  <si>
    <t>Operating Variance</t>
  </si>
  <si>
    <t>Act. Hrs</t>
  </si>
  <si>
    <t>Rev. Rate</t>
  </si>
  <si>
    <t>2,500*1/2Hrs</t>
  </si>
  <si>
    <t>Question 01</t>
  </si>
  <si>
    <t>Cost pools</t>
  </si>
  <si>
    <t>Cost driver</t>
  </si>
  <si>
    <t>Cost driver Nos..</t>
  </si>
  <si>
    <t>OAR</t>
  </si>
  <si>
    <t>Customer service</t>
  </si>
  <si>
    <t>No. of customers</t>
  </si>
  <si>
    <t>Merchantdising</t>
  </si>
  <si>
    <t>No. of inventory</t>
  </si>
  <si>
    <t>Warehouse receiving</t>
  </si>
  <si>
    <t>No. of pallets</t>
  </si>
  <si>
    <t>Cost absorption to clothing division</t>
  </si>
  <si>
    <t>No. of activities</t>
  </si>
  <si>
    <t>Cost Rs.000</t>
  </si>
  <si>
    <t>Exercise 20</t>
  </si>
  <si>
    <t>A 1)</t>
  </si>
  <si>
    <t>Original Budget</t>
  </si>
  <si>
    <t>Output batches</t>
  </si>
  <si>
    <t>Direct Labour Hours (W1)</t>
  </si>
  <si>
    <t>Direct Labour Cost</t>
  </si>
  <si>
    <t>variance as much as possible</t>
  </si>
  <si>
    <t xml:space="preserve">Rate Variance </t>
  </si>
  <si>
    <t>(69.13*120)</t>
  </si>
  <si>
    <t>Efficienacy Variance</t>
  </si>
  <si>
    <t>W1 - Flex Budget - Direct Labour Hours</t>
  </si>
  <si>
    <t xml:space="preserve">Average time per batch for 30 batches = </t>
  </si>
  <si>
    <t>10*30^-0.5146</t>
  </si>
  <si>
    <t>Total Time for 30 batches</t>
  </si>
  <si>
    <t>1.737*30</t>
  </si>
  <si>
    <t xml:space="preserve">Average time per batch for 29 batches = </t>
  </si>
  <si>
    <t>10*29^-0.5146</t>
  </si>
  <si>
    <t>Total Time for 29 batches</t>
  </si>
  <si>
    <t>1.768*29</t>
  </si>
  <si>
    <t>Average time taken to 30th batch</t>
  </si>
  <si>
    <t>Hrs</t>
  </si>
  <si>
    <t>Total time for 50 batches</t>
  </si>
  <si>
    <t>Total time 30 batches</t>
  </si>
  <si>
    <t>Total time additional 20 batchs</t>
  </si>
  <si>
    <t>0.851*20</t>
  </si>
  <si>
    <t>ii) Calculate the variance as much as possible</t>
  </si>
  <si>
    <t>Labour Rate Variance</t>
  </si>
  <si>
    <t>Std Rate</t>
  </si>
  <si>
    <t>Act Rate</t>
  </si>
  <si>
    <t>Act Hrs</t>
  </si>
  <si>
    <t>11,460/93.65</t>
  </si>
  <si>
    <t>Labour Efficiency Variance</t>
  </si>
  <si>
    <t>Std Hours</t>
  </si>
  <si>
    <t>Exercise 8 - ABC Variance Report</t>
  </si>
  <si>
    <t>Budget Rs.</t>
  </si>
  <si>
    <t>Receiving goods</t>
  </si>
  <si>
    <t>No. of deliveries</t>
  </si>
  <si>
    <t>Rs.80*45</t>
  </si>
  <si>
    <t>Issuing goods</t>
  </si>
  <si>
    <t>No. of MRNs</t>
  </si>
  <si>
    <t>Rs.40*100</t>
  </si>
  <si>
    <t>Ordering</t>
  </si>
  <si>
    <t>No. of orders</t>
  </si>
  <si>
    <t>Rs.25*36</t>
  </si>
  <si>
    <t>Counting stock</t>
  </si>
  <si>
    <t>No. of counts</t>
  </si>
  <si>
    <t>Rs.1,000*2</t>
  </si>
  <si>
    <t>Record keeping</t>
  </si>
  <si>
    <t>24,000/12</t>
  </si>
  <si>
    <t>Supervision</t>
  </si>
  <si>
    <t>30,000/12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</si>
</sst>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  <numFmt numFmtId="166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quotePrefix="1"/>
    <xf numFmtId="43" fontId="0" fillId="0" borderId="0" xfId="1" applyFont="1"/>
    <xf numFmtId="9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43" fontId="0" fillId="0" borderId="0" xfId="0" applyNumberFormat="1"/>
    <xf numFmtId="0" fontId="4" fillId="0" borderId="0" xfId="0" applyFont="1"/>
    <xf numFmtId="0" fontId="0" fillId="0" borderId="0" xfId="0" applyAlignment="1">
      <alignment horizontal="left" indent="2"/>
    </xf>
    <xf numFmtId="43" fontId="3" fillId="0" borderId="0" xfId="1" applyFont="1"/>
    <xf numFmtId="0" fontId="4" fillId="0" borderId="0" xfId="0" applyFont="1" applyAlignment="1">
      <alignment horizontal="left"/>
    </xf>
    <xf numFmtId="43" fontId="4" fillId="0" borderId="1" xfId="0" applyNumberFormat="1" applyFont="1" applyBorder="1"/>
    <xf numFmtId="43" fontId="4" fillId="0" borderId="0" xfId="0" applyNumberFormat="1" applyFont="1"/>
    <xf numFmtId="0" fontId="0" fillId="2" borderId="0" xfId="0" applyFill="1"/>
    <xf numFmtId="43" fontId="2" fillId="0" borderId="0" xfId="0" applyNumberFormat="1" applyFont="1"/>
    <xf numFmtId="43" fontId="2" fillId="0" borderId="0" xfId="1" applyFont="1"/>
    <xf numFmtId="43" fontId="0" fillId="0" borderId="1" xfId="0" applyNumberFormat="1" applyBorder="1"/>
    <xf numFmtId="0" fontId="5" fillId="0" borderId="0" xfId="0" applyFont="1"/>
    <xf numFmtId="0" fontId="5" fillId="0" borderId="0" xfId="0" applyFont="1" applyAlignment="1">
      <alignment horizontal="right"/>
    </xf>
    <xf numFmtId="43" fontId="4" fillId="0" borderId="3" xfId="1" applyFont="1" applyBorder="1"/>
    <xf numFmtId="0" fontId="3" fillId="0" borderId="0" xfId="0" applyFont="1" applyAlignment="1">
      <alignment horizontal="left"/>
    </xf>
    <xf numFmtId="17" fontId="0" fillId="2" borderId="2" xfId="0" applyNumberFormat="1" applyFill="1" applyBorder="1"/>
    <xf numFmtId="0" fontId="0" fillId="0" borderId="0" xfId="0" applyAlignment="1">
      <alignment horizontal="center"/>
    </xf>
    <xf numFmtId="43" fontId="3" fillId="0" borderId="0" xfId="0" applyNumberFormat="1" applyFont="1"/>
    <xf numFmtId="43" fontId="3" fillId="0" borderId="1" xfId="0" applyNumberFormat="1" applyFont="1" applyBorder="1"/>
    <xf numFmtId="43" fontId="3" fillId="0" borderId="1" xfId="1" applyFont="1" applyBorder="1"/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4" borderId="0" xfId="0" applyFont="1" applyFill="1" applyAlignment="1">
      <alignment horizontal="right" wrapText="1"/>
    </xf>
    <xf numFmtId="43" fontId="0" fillId="4" borderId="0" xfId="1" applyFont="1" applyFill="1"/>
    <xf numFmtId="43" fontId="0" fillId="4" borderId="0" xfId="0" applyNumberFormat="1" applyFill="1"/>
    <xf numFmtId="0" fontId="0" fillId="4" borderId="0" xfId="0" applyFill="1"/>
    <xf numFmtId="43" fontId="3" fillId="4" borderId="0" xfId="1" applyFont="1" applyFill="1"/>
    <xf numFmtId="43" fontId="3" fillId="4" borderId="1" xfId="0" applyNumberFormat="1" applyFont="1" applyFill="1" applyBorder="1"/>
    <xf numFmtId="0" fontId="7" fillId="0" borderId="0" xfId="0" applyFont="1"/>
    <xf numFmtId="164" fontId="0" fillId="0" borderId="0" xfId="1" applyNumberFormat="1" applyFont="1"/>
    <xf numFmtId="165" fontId="0" fillId="0" borderId="0" xfId="1" applyNumberFormat="1" applyFont="1"/>
    <xf numFmtId="43" fontId="0" fillId="0" borderId="3" xfId="0" applyNumberFormat="1" applyBorder="1"/>
    <xf numFmtId="43" fontId="3" fillId="0" borderId="3" xfId="0" applyNumberFormat="1" applyFont="1" applyBorder="1"/>
    <xf numFmtId="43" fontId="2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0" fontId="5" fillId="9" borderId="0" xfId="0" applyFont="1" applyFill="1" applyAlignment="1">
      <alignment horizontal="right"/>
    </xf>
    <xf numFmtId="0" fontId="0" fillId="10" borderId="7" xfId="0" applyFill="1" applyBorder="1"/>
    <xf numFmtId="3" fontId="0" fillId="0" borderId="0" xfId="0" applyNumberFormat="1"/>
    <xf numFmtId="166" fontId="0" fillId="0" borderId="0" xfId="1" applyNumberFormat="1" applyFont="1"/>
    <xf numFmtId="43" fontId="0" fillId="10" borderId="0" xfId="0" applyNumberFormat="1" applyFill="1"/>
    <xf numFmtId="43" fontId="2" fillId="0" borderId="8" xfId="1" applyFont="1" applyBorder="1"/>
    <xf numFmtId="43" fontId="0" fillId="10" borderId="8" xfId="1" applyFont="1" applyFill="1" applyBorder="1"/>
    <xf numFmtId="43" fontId="0" fillId="0" borderId="8" xfId="1" applyFont="1" applyBorder="1"/>
    <xf numFmtId="43" fontId="0" fillId="0" borderId="8" xfId="0" applyNumberFormat="1" applyBorder="1"/>
    <xf numFmtId="43" fontId="0" fillId="0" borderId="1" xfId="1" applyFont="1" applyBorder="1"/>
    <xf numFmtId="0" fontId="0" fillId="0" borderId="3" xfId="0" applyBorder="1"/>
    <xf numFmtId="0" fontId="3" fillId="0" borderId="0" xfId="0" applyFont="1" applyAlignment="1">
      <alignment horizontal="right"/>
    </xf>
    <xf numFmtId="0" fontId="3" fillId="5" borderId="0" xfId="0" applyFont="1" applyFill="1" applyAlignment="1">
      <alignment horizontal="right"/>
    </xf>
    <xf numFmtId="0" fontId="0" fillId="10" borderId="0" xfId="0" applyFill="1"/>
    <xf numFmtId="43" fontId="0" fillId="10" borderId="0" xfId="1" applyFont="1" applyFill="1"/>
    <xf numFmtId="0" fontId="0" fillId="10" borderId="0" xfId="0" applyFill="1" applyAlignment="1">
      <alignment horizontal="right"/>
    </xf>
    <xf numFmtId="0" fontId="8" fillId="0" borderId="0" xfId="0" applyFont="1"/>
    <xf numFmtId="43" fontId="2" fillId="0" borderId="3" xfId="1" applyFont="1" applyBorder="1"/>
    <xf numFmtId="0" fontId="2" fillId="0" borderId="3" xfId="0" applyFont="1" applyBorder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19</xdr:row>
      <xdr:rowOff>85725</xdr:rowOff>
    </xdr:from>
    <xdr:to>
      <xdr:col>5</xdr:col>
      <xdr:colOff>0</xdr:colOff>
      <xdr:row>26</xdr:row>
      <xdr:rowOff>104775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924300" y="3705225"/>
          <a:ext cx="438150" cy="1352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85725</xdr:colOff>
      <xdr:row>19</xdr:row>
      <xdr:rowOff>57150</xdr:rowOff>
    </xdr:from>
    <xdr:to>
      <xdr:col>8</xdr:col>
      <xdr:colOff>523875</xdr:colOff>
      <xdr:row>26</xdr:row>
      <xdr:rowOff>76200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rot="10800000">
          <a:off x="6343650" y="3676650"/>
          <a:ext cx="438150" cy="1352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133346</xdr:colOff>
      <xdr:row>19</xdr:row>
      <xdr:rowOff>95250</xdr:rowOff>
    </xdr:to>
    <xdr:sp macro="" textlink="">
      <xdr:nvSpPr>
        <xdr:cNvPr id="4" name="Rectangle 3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666751</xdr:colOff>
      <xdr:row>4</xdr:row>
      <xdr:rowOff>85725</xdr:rowOff>
    </xdr:from>
    <xdr:to>
      <xdr:col>4</xdr:col>
      <xdr:colOff>76200</xdr:colOff>
      <xdr:row>4</xdr:row>
      <xdr:rowOff>85726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flipH="1">
          <a:off x="3124201" y="847725"/>
          <a:ext cx="17144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419096</xdr:colOff>
      <xdr:row>19</xdr:row>
      <xdr:rowOff>76200</xdr:rowOff>
    </xdr:to>
    <xdr:sp macro="" textlink="">
      <xdr:nvSpPr>
        <xdr:cNvPr id="4" name="Rectangle 3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371471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542921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9521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114296</xdr:colOff>
      <xdr:row>19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314321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180971</xdr:colOff>
      <xdr:row>16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514346</xdr:colOff>
      <xdr:row>14</xdr:row>
      <xdr:rowOff>66675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371471</xdr:colOff>
      <xdr:row>19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</xdr:row>
      <xdr:rowOff>190499</xdr:rowOff>
    </xdr:from>
    <xdr:to>
      <xdr:col>3</xdr:col>
      <xdr:colOff>914400</xdr:colOff>
      <xdr:row>4</xdr:row>
      <xdr:rowOff>180974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895850" y="761999"/>
          <a:ext cx="723900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561971</xdr:colOff>
      <xdr:row>19</xdr:row>
      <xdr:rowOff>95250</xdr:rowOff>
    </xdr:to>
    <xdr:sp macro="" textlink="">
      <xdr:nvSpPr>
        <xdr:cNvPr id="3" name="Rectangle 2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209546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66671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114296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400046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257171</xdr:colOff>
      <xdr:row>19</xdr:row>
      <xdr:rowOff>38100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9"/>
  <sheetViews>
    <sheetView workbookViewId="0">
      <selection activeCell="B22" sqref="B22"/>
    </sheetView>
  </sheetViews>
  <sheetFormatPr defaultRowHeight="15" x14ac:dyDescent="0.25"/>
  <cols>
    <col min="1" max="1" width="16.7109375" customWidth="1"/>
    <col min="2" max="2" width="11.28515625" customWidth="1"/>
    <col min="3" max="3" width="17.5703125" bestFit="1" customWidth="1"/>
    <col min="4" max="4" width="15" customWidth="1"/>
    <col min="5" max="5" width="15.42578125" customWidth="1"/>
    <col min="7" max="7" width="10.140625" bestFit="1" customWidth="1"/>
    <col min="10" max="10" width="12.140625" bestFit="1" customWidth="1"/>
  </cols>
  <sheetData>
    <row r="5" spans="1:11" x14ac:dyDescent="0.25">
      <c r="B5" t="s">
        <v>0</v>
      </c>
      <c r="D5" t="s">
        <v>1</v>
      </c>
      <c r="E5" s="1" t="s">
        <v>2</v>
      </c>
      <c r="F5" t="s">
        <v>3</v>
      </c>
      <c r="G5" s="1" t="s">
        <v>4</v>
      </c>
      <c r="H5" t="s">
        <v>6</v>
      </c>
    </row>
    <row r="7" spans="1:11" x14ac:dyDescent="0.25">
      <c r="B7" t="s">
        <v>5</v>
      </c>
      <c r="D7" t="s">
        <v>1</v>
      </c>
      <c r="E7" s="1" t="s">
        <v>2</v>
      </c>
      <c r="F7" s="2">
        <v>0</v>
      </c>
      <c r="G7" s="1" t="s">
        <v>4</v>
      </c>
      <c r="H7" t="s">
        <v>6</v>
      </c>
    </row>
    <row r="11" spans="1:11" x14ac:dyDescent="0.25">
      <c r="B11" t="s">
        <v>7</v>
      </c>
      <c r="D11" t="s">
        <v>8</v>
      </c>
    </row>
    <row r="12" spans="1:11" x14ac:dyDescent="0.25">
      <c r="A12" t="s">
        <v>9</v>
      </c>
      <c r="B12" s="3">
        <v>0.06</v>
      </c>
      <c r="I12" t="s">
        <v>16</v>
      </c>
      <c r="J12" t="s">
        <v>21</v>
      </c>
      <c r="K12" t="s">
        <v>20</v>
      </c>
    </row>
    <row r="13" spans="1:11" x14ac:dyDescent="0.25">
      <c r="A13" t="s">
        <v>10</v>
      </c>
      <c r="B13" s="3">
        <v>0.11</v>
      </c>
      <c r="C13" t="s">
        <v>11</v>
      </c>
      <c r="D13" s="5">
        <v>0.11</v>
      </c>
      <c r="G13" t="s">
        <v>15</v>
      </c>
      <c r="H13" t="s">
        <v>16</v>
      </c>
      <c r="I13" t="s">
        <v>17</v>
      </c>
      <c r="J13" t="s">
        <v>18</v>
      </c>
      <c r="K13" t="s">
        <v>19</v>
      </c>
    </row>
    <row r="14" spans="1:11" x14ac:dyDescent="0.25">
      <c r="C14" t="s">
        <v>12</v>
      </c>
      <c r="D14" s="4">
        <v>9.5000000000000001E-2</v>
      </c>
      <c r="H14" t="s">
        <v>23</v>
      </c>
      <c r="I14" t="s">
        <v>24</v>
      </c>
    </row>
    <row r="15" spans="1:11" x14ac:dyDescent="0.25">
      <c r="C15" t="s">
        <v>13</v>
      </c>
      <c r="D15" s="5">
        <f>D13-D14</f>
        <v>1.4999999999999999E-2</v>
      </c>
      <c r="K15" t="s">
        <v>22</v>
      </c>
    </row>
    <row r="17" spans="3:10" x14ac:dyDescent="0.25">
      <c r="C17" t="s">
        <v>14</v>
      </c>
      <c r="D17" s="3">
        <v>0.08</v>
      </c>
    </row>
    <row r="19" spans="3:10" x14ac:dyDescent="0.25">
      <c r="D19" s="6" t="s">
        <v>31</v>
      </c>
      <c r="E19" t="s">
        <v>25</v>
      </c>
      <c r="I19" t="s">
        <v>27</v>
      </c>
      <c r="J19" s="6" t="s">
        <v>31</v>
      </c>
    </row>
    <row r="28" spans="3:10" x14ac:dyDescent="0.25">
      <c r="D28" s="6" t="s">
        <v>32</v>
      </c>
      <c r="E28" t="s">
        <v>26</v>
      </c>
      <c r="I28" t="s">
        <v>28</v>
      </c>
      <c r="J28" s="6" t="s">
        <v>32</v>
      </c>
    </row>
    <row r="30" spans="3:10" x14ac:dyDescent="0.25">
      <c r="E30" t="s">
        <v>29</v>
      </c>
      <c r="I30" t="s">
        <v>30</v>
      </c>
    </row>
    <row r="34" spans="2:5" x14ac:dyDescent="0.25">
      <c r="C34" t="s">
        <v>33</v>
      </c>
    </row>
    <row r="36" spans="2:5" x14ac:dyDescent="0.25">
      <c r="C36" s="7" t="s">
        <v>34</v>
      </c>
      <c r="D36" t="s">
        <v>37</v>
      </c>
      <c r="E36" t="s">
        <v>36</v>
      </c>
    </row>
    <row r="37" spans="2:5" x14ac:dyDescent="0.25">
      <c r="B37" t="s">
        <v>35</v>
      </c>
      <c r="C37" s="2">
        <v>5000</v>
      </c>
      <c r="D37" s="3">
        <v>0.06</v>
      </c>
      <c r="E37" s="2">
        <f>C37*(D37+1)</f>
        <v>5300</v>
      </c>
    </row>
    <row r="39" spans="2:5" x14ac:dyDescent="0.25">
      <c r="C39" t="s">
        <v>38</v>
      </c>
      <c r="D39" t="s">
        <v>39</v>
      </c>
      <c r="E39" t="s">
        <v>40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F22" sqref="F22"/>
    </sheetView>
  </sheetViews>
  <sheetFormatPr defaultRowHeight="15" x14ac:dyDescent="0.25"/>
  <cols>
    <col min="1" max="1" width="15.140625" bestFit="1" customWidth="1"/>
    <col min="2" max="2" width="12.5703125" bestFit="1" customWidth="1"/>
    <col min="4" max="4" width="11.42578125" bestFit="1" customWidth="1"/>
  </cols>
  <sheetData>
    <row r="2" spans="1:7" x14ac:dyDescent="0.25">
      <c r="A2" s="8" t="s">
        <v>167</v>
      </c>
    </row>
    <row r="4" spans="1:7" x14ac:dyDescent="0.25">
      <c r="A4" t="s">
        <v>171</v>
      </c>
      <c r="B4" s="8" t="s">
        <v>168</v>
      </c>
      <c r="C4" s="8"/>
      <c r="D4" s="8" t="s">
        <v>169</v>
      </c>
      <c r="E4" s="8" t="s">
        <v>47</v>
      </c>
      <c r="F4" s="8" t="s">
        <v>72</v>
      </c>
    </row>
    <row r="5" spans="1:7" x14ac:dyDescent="0.25">
      <c r="A5" t="s">
        <v>170</v>
      </c>
      <c r="B5" s="2">
        <v>5</v>
      </c>
      <c r="D5" s="25">
        <v>6</v>
      </c>
      <c r="E5" s="2">
        <v>6</v>
      </c>
    </row>
    <row r="6" spans="1:7" x14ac:dyDescent="0.25">
      <c r="A6" t="s">
        <v>172</v>
      </c>
      <c r="B6" s="2">
        <f>+B5*50</f>
        <v>250</v>
      </c>
      <c r="C6" t="s">
        <v>177</v>
      </c>
      <c r="D6" s="2">
        <f>B6/B5*D5</f>
        <v>300</v>
      </c>
      <c r="E6" s="2">
        <f>48*6</f>
        <v>288</v>
      </c>
      <c r="F6" s="9">
        <f>D6-E6</f>
        <v>12</v>
      </c>
      <c r="G6" t="s">
        <v>179</v>
      </c>
    </row>
    <row r="7" spans="1:7" x14ac:dyDescent="0.25">
      <c r="A7" t="s">
        <v>173</v>
      </c>
      <c r="B7" s="2">
        <f>-5*30</f>
        <v>-150</v>
      </c>
      <c r="C7" t="s">
        <v>178</v>
      </c>
      <c r="D7" s="2">
        <f>B7/B5*D5</f>
        <v>-180</v>
      </c>
      <c r="E7" s="2">
        <f>-32*6</f>
        <v>-192</v>
      </c>
      <c r="F7" s="9">
        <f>-E7+D7</f>
        <v>12</v>
      </c>
      <c r="G7" t="s">
        <v>179</v>
      </c>
    </row>
    <row r="8" spans="1:7" x14ac:dyDescent="0.25">
      <c r="A8" t="s">
        <v>174</v>
      </c>
      <c r="B8" s="9">
        <f>SUM(B6:B7)</f>
        <v>100</v>
      </c>
      <c r="D8" s="9">
        <f>SUM(D6:D7)</f>
        <v>120</v>
      </c>
      <c r="E8" s="9">
        <f>SUM(E6:E7)</f>
        <v>96</v>
      </c>
      <c r="F8" s="9">
        <f>+D8-E8</f>
        <v>24</v>
      </c>
      <c r="G8" t="s">
        <v>179</v>
      </c>
    </row>
    <row r="9" spans="1:7" x14ac:dyDescent="0.25">
      <c r="A9" t="s">
        <v>175</v>
      </c>
      <c r="B9" s="2">
        <v>-25</v>
      </c>
      <c r="D9" s="2">
        <v>-25</v>
      </c>
      <c r="E9" s="2">
        <v>-20</v>
      </c>
      <c r="F9" s="9">
        <f>-D9+E9</f>
        <v>5</v>
      </c>
      <c r="G9" t="s">
        <v>180</v>
      </c>
    </row>
    <row r="10" spans="1:7" ht="15.75" thickBot="1" x14ac:dyDescent="0.3">
      <c r="A10" t="s">
        <v>176</v>
      </c>
      <c r="B10" s="19">
        <f>SUM(B8:B9)</f>
        <v>75</v>
      </c>
      <c r="D10" s="19">
        <f>SUM(D8:D9)</f>
        <v>95</v>
      </c>
      <c r="E10" s="19">
        <f>SUM(E8:E9)</f>
        <v>76</v>
      </c>
      <c r="F10" s="19">
        <f>D10-E10</f>
        <v>19</v>
      </c>
      <c r="G10" t="s">
        <v>179</v>
      </c>
    </row>
    <row r="11" spans="1:7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H21" sqref="H21"/>
    </sheetView>
  </sheetViews>
  <sheetFormatPr defaultRowHeight="15" x14ac:dyDescent="0.25"/>
  <cols>
    <col min="1" max="1" width="15.140625" bestFit="1" customWidth="1"/>
    <col min="2" max="2" width="12.5703125" bestFit="1" customWidth="1"/>
    <col min="3" max="3" width="9.85546875" bestFit="1" customWidth="1"/>
    <col min="4" max="4" width="11.42578125" customWidth="1"/>
  </cols>
  <sheetData>
    <row r="2" spans="1:7" x14ac:dyDescent="0.25">
      <c r="A2" s="8" t="s">
        <v>181</v>
      </c>
    </row>
    <row r="4" spans="1:7" x14ac:dyDescent="0.25">
      <c r="A4" t="s">
        <v>182</v>
      </c>
      <c r="B4" s="8" t="s">
        <v>168</v>
      </c>
      <c r="C4" s="8"/>
      <c r="D4" s="8" t="s">
        <v>169</v>
      </c>
      <c r="E4" s="8" t="s">
        <v>47</v>
      </c>
      <c r="F4" s="8" t="s">
        <v>72</v>
      </c>
    </row>
    <row r="5" spans="1:7" x14ac:dyDescent="0.25">
      <c r="A5" t="s">
        <v>183</v>
      </c>
      <c r="B5" s="2">
        <v>10</v>
      </c>
      <c r="C5" s="2"/>
      <c r="D5" s="2">
        <v>11</v>
      </c>
      <c r="E5" s="2">
        <v>11</v>
      </c>
      <c r="F5" s="9">
        <f>D5-E5</f>
        <v>0</v>
      </c>
    </row>
    <row r="6" spans="1:7" x14ac:dyDescent="0.25">
      <c r="A6" t="s">
        <v>172</v>
      </c>
      <c r="B6" s="2">
        <v>250</v>
      </c>
      <c r="C6" t="s">
        <v>187</v>
      </c>
      <c r="D6" s="9">
        <f>B6/B5*D5</f>
        <v>275</v>
      </c>
      <c r="E6" s="2">
        <v>255</v>
      </c>
      <c r="F6" s="9">
        <f>+D6-E6</f>
        <v>20</v>
      </c>
      <c r="G6" t="s">
        <v>179</v>
      </c>
    </row>
    <row r="7" spans="1:7" x14ac:dyDescent="0.25">
      <c r="A7" s="8" t="s">
        <v>173</v>
      </c>
      <c r="E7" s="2"/>
    </row>
    <row r="8" spans="1:7" x14ac:dyDescent="0.25">
      <c r="A8" t="s">
        <v>81</v>
      </c>
      <c r="B8" s="2">
        <v>-45</v>
      </c>
      <c r="C8" t="s">
        <v>188</v>
      </c>
      <c r="D8" s="9">
        <f>B8/B5*D5</f>
        <v>-49.5</v>
      </c>
      <c r="E8" s="2">
        <v>-48.6</v>
      </c>
      <c r="F8" s="9">
        <f>E8-D8</f>
        <v>0.89999999999999858</v>
      </c>
      <c r="G8" t="s">
        <v>180</v>
      </c>
    </row>
    <row r="9" spans="1:7" x14ac:dyDescent="0.25">
      <c r="A9" t="s">
        <v>184</v>
      </c>
      <c r="B9" s="2">
        <v>-60</v>
      </c>
      <c r="C9" t="s">
        <v>189</v>
      </c>
      <c r="D9" s="9">
        <f>B9/B5*D5</f>
        <v>-66</v>
      </c>
      <c r="E9" s="2">
        <v>-71.400000000000006</v>
      </c>
      <c r="F9" s="9">
        <f>D9-E9</f>
        <v>5.4000000000000057</v>
      </c>
      <c r="G9" t="s">
        <v>179</v>
      </c>
    </row>
    <row r="10" spans="1:7" x14ac:dyDescent="0.25">
      <c r="A10" t="s">
        <v>160</v>
      </c>
      <c r="B10" s="2">
        <v>-30</v>
      </c>
      <c r="C10" t="s">
        <v>190</v>
      </c>
      <c r="D10" s="9">
        <f>B10/B5*D5</f>
        <v>-33</v>
      </c>
      <c r="E10" s="2">
        <v>-40</v>
      </c>
      <c r="F10" s="9">
        <f>D10-E10</f>
        <v>7</v>
      </c>
      <c r="G10" t="s">
        <v>179</v>
      </c>
    </row>
    <row r="11" spans="1:7" x14ac:dyDescent="0.25">
      <c r="A11" t="s">
        <v>174</v>
      </c>
      <c r="B11" s="9">
        <f>SUM(B6:B10)</f>
        <v>115</v>
      </c>
      <c r="D11" s="9">
        <f>SUM(D6:D10)</f>
        <v>126.5</v>
      </c>
      <c r="E11" s="9">
        <f>SUM(E6:E10)</f>
        <v>95</v>
      </c>
      <c r="F11" s="9">
        <f>D11-E11</f>
        <v>31.5</v>
      </c>
      <c r="G11" t="s">
        <v>179</v>
      </c>
    </row>
    <row r="12" spans="1:7" x14ac:dyDescent="0.25">
      <c r="A12" t="s">
        <v>175</v>
      </c>
    </row>
    <row r="13" spans="1:7" x14ac:dyDescent="0.25">
      <c r="A13" t="s">
        <v>185</v>
      </c>
      <c r="B13" s="9">
        <v>-35</v>
      </c>
      <c r="D13" s="9">
        <f>+B13</f>
        <v>-35</v>
      </c>
      <c r="E13" s="2">
        <v>-38</v>
      </c>
      <c r="F13" s="9">
        <f>D13-E13</f>
        <v>3</v>
      </c>
      <c r="G13" t="s">
        <v>179</v>
      </c>
    </row>
    <row r="14" spans="1:7" x14ac:dyDescent="0.25">
      <c r="A14" t="s">
        <v>186</v>
      </c>
      <c r="B14" s="9">
        <v>-35</v>
      </c>
      <c r="D14" s="9">
        <f>+B14</f>
        <v>-35</v>
      </c>
      <c r="E14" s="2">
        <v>-34</v>
      </c>
      <c r="F14" s="9">
        <f>E14-D14</f>
        <v>1</v>
      </c>
      <c r="G14" t="s">
        <v>180</v>
      </c>
    </row>
    <row r="15" spans="1:7" ht="15.75" thickBot="1" x14ac:dyDescent="0.3">
      <c r="A15" s="8" t="s">
        <v>176</v>
      </c>
      <c r="B15" s="27">
        <f>SUM(B11:B14)</f>
        <v>45</v>
      </c>
      <c r="C15" s="8"/>
      <c r="D15" s="27">
        <f>SUM(D11:D14)</f>
        <v>56.5</v>
      </c>
      <c r="E15" s="28">
        <f>SUM(E11:E14)</f>
        <v>23</v>
      </c>
      <c r="F15" s="27">
        <f>D15-E15</f>
        <v>33.5</v>
      </c>
      <c r="G15" t="s">
        <v>179</v>
      </c>
    </row>
    <row r="16" spans="1:7" ht="15.75" thickTop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G13"/>
  <sheetViews>
    <sheetView workbookViewId="0">
      <selection activeCell="I22" sqref="I22"/>
    </sheetView>
  </sheetViews>
  <sheetFormatPr defaultRowHeight="15" x14ac:dyDescent="0.25"/>
  <cols>
    <col min="7" max="7" width="19" bestFit="1" customWidth="1"/>
  </cols>
  <sheetData>
    <row r="11" spans="7:7" x14ac:dyDescent="0.25">
      <c r="G11" t="s">
        <v>265</v>
      </c>
    </row>
    <row r="13" spans="7:7" x14ac:dyDescent="0.25">
      <c r="G13" s="2">
        <f>550000*1.1*1.03</f>
        <v>623150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D22" sqref="D22"/>
    </sheetView>
  </sheetViews>
  <sheetFormatPr defaultRowHeight="15" x14ac:dyDescent="0.25"/>
  <cols>
    <col min="1" max="1" width="36" customWidth="1"/>
    <col min="2" max="2" width="22.140625" customWidth="1"/>
    <col min="3" max="3" width="14.28515625" customWidth="1"/>
    <col min="4" max="4" width="10.5703125" bestFit="1" customWidth="1"/>
    <col min="5" max="5" width="9.5703125" bestFit="1" customWidth="1"/>
    <col min="8" max="8" width="9.5703125" bestFit="1" customWidth="1"/>
    <col min="10" max="10" width="22" customWidth="1"/>
    <col min="11" max="11" width="12.5703125" customWidth="1"/>
  </cols>
  <sheetData>
    <row r="2" spans="1:12" x14ac:dyDescent="0.25">
      <c r="A2" s="8" t="s">
        <v>333</v>
      </c>
    </row>
    <row r="3" spans="1:12" x14ac:dyDescent="0.25">
      <c r="A3" t="s">
        <v>334</v>
      </c>
    </row>
    <row r="4" spans="1:12" x14ac:dyDescent="0.25">
      <c r="B4" s="57" t="s">
        <v>335</v>
      </c>
      <c r="C4" s="57" t="s">
        <v>169</v>
      </c>
      <c r="D4" s="57" t="s">
        <v>47</v>
      </c>
      <c r="E4" s="57" t="s">
        <v>72</v>
      </c>
    </row>
    <row r="5" spans="1:12" x14ac:dyDescent="0.25">
      <c r="A5" t="s">
        <v>336</v>
      </c>
      <c r="B5">
        <v>60</v>
      </c>
      <c r="C5" s="58">
        <v>50</v>
      </c>
      <c r="D5">
        <v>50</v>
      </c>
      <c r="E5">
        <v>0</v>
      </c>
    </row>
    <row r="6" spans="1:12" x14ac:dyDescent="0.25">
      <c r="A6" t="s">
        <v>337</v>
      </c>
      <c r="B6">
        <v>163.53</v>
      </c>
      <c r="C6" s="49">
        <f>+C23</f>
        <v>69.131620908074098</v>
      </c>
      <c r="D6">
        <v>93.65</v>
      </c>
      <c r="E6" s="9">
        <f>D6-C6</f>
        <v>24.518379091925908</v>
      </c>
      <c r="F6" t="s">
        <v>179</v>
      </c>
    </row>
    <row r="7" spans="1:12" x14ac:dyDescent="0.25">
      <c r="A7" t="s">
        <v>338</v>
      </c>
      <c r="B7" s="2">
        <v>19620</v>
      </c>
      <c r="C7" s="59">
        <f>+C6*120</f>
        <v>8295.794508968891</v>
      </c>
      <c r="D7" s="2">
        <v>11460</v>
      </c>
      <c r="E7" s="17">
        <f>D7-C7</f>
        <v>3164.205491031109</v>
      </c>
      <c r="F7" s="6" t="s">
        <v>179</v>
      </c>
      <c r="G7" s="6" t="s">
        <v>339</v>
      </c>
      <c r="J7" t="s">
        <v>340</v>
      </c>
      <c r="K7" s="2">
        <v>222</v>
      </c>
      <c r="L7" t="s">
        <v>179</v>
      </c>
    </row>
    <row r="8" spans="1:12" x14ac:dyDescent="0.25">
      <c r="C8" s="60" t="s">
        <v>341</v>
      </c>
      <c r="J8" t="s">
        <v>342</v>
      </c>
      <c r="K8" s="2">
        <v>2942.21</v>
      </c>
      <c r="L8" t="s">
        <v>179</v>
      </c>
    </row>
    <row r="9" spans="1:12" x14ac:dyDescent="0.25">
      <c r="A9" s="61" t="s">
        <v>343</v>
      </c>
      <c r="K9" s="9">
        <f>SUM(K7:K8)</f>
        <v>3164.21</v>
      </c>
      <c r="L9" t="s">
        <v>179</v>
      </c>
    </row>
    <row r="11" spans="1:12" x14ac:dyDescent="0.25">
      <c r="A11" t="s">
        <v>226</v>
      </c>
    </row>
    <row r="12" spans="1:12" x14ac:dyDescent="0.25">
      <c r="A12" t="s">
        <v>344</v>
      </c>
      <c r="B12" t="s">
        <v>345</v>
      </c>
      <c r="C12" s="38">
        <f>10*30^-0.5146</f>
        <v>1.7372943302837665</v>
      </c>
    </row>
    <row r="13" spans="1:12" x14ac:dyDescent="0.25">
      <c r="A13" t="s">
        <v>346</v>
      </c>
      <c r="B13" t="s">
        <v>347</v>
      </c>
      <c r="D13" s="9">
        <f>C12*30</f>
        <v>52.118829908512993</v>
      </c>
    </row>
    <row r="15" spans="1:12" x14ac:dyDescent="0.25">
      <c r="A15" t="s">
        <v>348</v>
      </c>
      <c r="B15" t="s">
        <v>349</v>
      </c>
      <c r="C15" s="38">
        <f>10*29^-0.5146</f>
        <v>1.767868633052929</v>
      </c>
    </row>
    <row r="16" spans="1:12" x14ac:dyDescent="0.25">
      <c r="A16" t="s">
        <v>350</v>
      </c>
      <c r="B16" t="s">
        <v>351</v>
      </c>
      <c r="D16" s="9">
        <f>C15*29</f>
        <v>51.268190358534937</v>
      </c>
    </row>
    <row r="18" spans="1:9" x14ac:dyDescent="0.25">
      <c r="A18" t="s">
        <v>352</v>
      </c>
      <c r="D18" s="43">
        <f>D13-D16</f>
        <v>0.85063954997805524</v>
      </c>
      <c r="E18" t="s">
        <v>353</v>
      </c>
    </row>
    <row r="20" spans="1:9" x14ac:dyDescent="0.25">
      <c r="A20" s="6" t="s">
        <v>354</v>
      </c>
    </row>
    <row r="21" spans="1:9" x14ac:dyDescent="0.25">
      <c r="A21" t="s">
        <v>355</v>
      </c>
      <c r="C21" s="2">
        <f>+D13</f>
        <v>52.118829908512993</v>
      </c>
    </row>
    <row r="22" spans="1:9" x14ac:dyDescent="0.25">
      <c r="A22" t="s">
        <v>356</v>
      </c>
      <c r="B22" t="s">
        <v>357</v>
      </c>
      <c r="C22" s="2">
        <f>D18*20</f>
        <v>17.012790999561105</v>
      </c>
    </row>
    <row r="23" spans="1:9" x14ac:dyDescent="0.25">
      <c r="C23" s="9">
        <f>SUM(C21:C22)</f>
        <v>69.131620908074098</v>
      </c>
    </row>
    <row r="26" spans="1:9" x14ac:dyDescent="0.25">
      <c r="A26" t="s">
        <v>358</v>
      </c>
    </row>
    <row r="28" spans="1:9" x14ac:dyDescent="0.25">
      <c r="A28" t="s">
        <v>359</v>
      </c>
      <c r="B28" t="s">
        <v>360</v>
      </c>
      <c r="C28" s="1" t="s">
        <v>309</v>
      </c>
      <c r="D28" t="s">
        <v>361</v>
      </c>
      <c r="E28" t="s">
        <v>311</v>
      </c>
      <c r="F28" t="s">
        <v>362</v>
      </c>
    </row>
    <row r="29" spans="1:9" ht="15.75" thickBot="1" x14ac:dyDescent="0.3">
      <c r="B29">
        <v>120</v>
      </c>
      <c r="C29" s="1" t="s">
        <v>309</v>
      </c>
      <c r="D29" s="2">
        <f>11460/93.65</f>
        <v>122.37052856380139</v>
      </c>
      <c r="E29" t="s">
        <v>311</v>
      </c>
      <c r="F29">
        <v>93.65</v>
      </c>
      <c r="G29" s="1" t="s">
        <v>4</v>
      </c>
      <c r="H29" s="62">
        <f>(D29-B29)*F29</f>
        <v>221.99999999999983</v>
      </c>
      <c r="I29" s="63" t="s">
        <v>179</v>
      </c>
    </row>
    <row r="30" spans="1:9" ht="15.75" thickTop="1" x14ac:dyDescent="0.25">
      <c r="D30" t="s">
        <v>363</v>
      </c>
    </row>
    <row r="32" spans="1:9" x14ac:dyDescent="0.25">
      <c r="A32" t="s">
        <v>364</v>
      </c>
      <c r="B32" t="s">
        <v>365</v>
      </c>
      <c r="C32" s="1" t="s">
        <v>309</v>
      </c>
      <c r="D32" t="s">
        <v>362</v>
      </c>
      <c r="E32" t="s">
        <v>311</v>
      </c>
      <c r="F32" t="s">
        <v>360</v>
      </c>
    </row>
    <row r="33" spans="2:9" ht="15.75" thickBot="1" x14ac:dyDescent="0.3">
      <c r="B33" s="9">
        <f>+C23</f>
        <v>69.131620908074098</v>
      </c>
      <c r="C33" s="1" t="s">
        <v>309</v>
      </c>
      <c r="D33">
        <f>+F29</f>
        <v>93.65</v>
      </c>
      <c r="E33" t="s">
        <v>311</v>
      </c>
      <c r="F33">
        <v>120</v>
      </c>
      <c r="G33" s="1" t="s">
        <v>4</v>
      </c>
      <c r="H33" s="62">
        <f>(D33-B33)*F33</f>
        <v>2942.205491031109</v>
      </c>
      <c r="I33" s="63" t="s">
        <v>179</v>
      </c>
    </row>
    <row r="34" spans="2:9" ht="15.75" thickTop="1" x14ac:dyDescent="0.25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E21" sqref="E21"/>
    </sheetView>
  </sheetViews>
  <sheetFormatPr defaultRowHeight="15" x14ac:dyDescent="0.25"/>
  <cols>
    <col min="1" max="1" width="20" bestFit="1" customWidth="1"/>
    <col min="2" max="2" width="16" customWidth="1"/>
    <col min="3" max="3" width="11" customWidth="1"/>
    <col min="4" max="4" width="16.140625" bestFit="1" customWidth="1"/>
    <col min="5" max="5" width="15.7109375" bestFit="1" customWidth="1"/>
    <col min="6" max="6" width="10.5703125" bestFit="1" customWidth="1"/>
  </cols>
  <sheetData>
    <row r="2" spans="1:6" x14ac:dyDescent="0.25">
      <c r="A2" s="8" t="s">
        <v>319</v>
      </c>
    </row>
    <row r="4" spans="1:6" x14ac:dyDescent="0.25">
      <c r="B4" s="56">
        <v>2018</v>
      </c>
      <c r="C4" s="56">
        <v>2019</v>
      </c>
    </row>
    <row r="5" spans="1:6" x14ac:dyDescent="0.25">
      <c r="A5" s="8" t="s">
        <v>320</v>
      </c>
      <c r="B5" s="56" t="s">
        <v>182</v>
      </c>
      <c r="C5" s="56" t="s">
        <v>182</v>
      </c>
      <c r="D5" s="8" t="s">
        <v>321</v>
      </c>
      <c r="E5" s="56" t="s">
        <v>322</v>
      </c>
      <c r="F5" s="56" t="s">
        <v>323</v>
      </c>
    </row>
    <row r="6" spans="1:6" x14ac:dyDescent="0.25">
      <c r="A6" t="s">
        <v>324</v>
      </c>
      <c r="B6" s="2">
        <v>6000</v>
      </c>
      <c r="C6" s="2">
        <f>+B6*1.05</f>
        <v>6300</v>
      </c>
      <c r="D6" t="s">
        <v>325</v>
      </c>
      <c r="E6" s="2">
        <v>40000</v>
      </c>
      <c r="F6" s="2">
        <f>C6/E6*1000</f>
        <v>157.5</v>
      </c>
    </row>
    <row r="7" spans="1:6" x14ac:dyDescent="0.25">
      <c r="A7" t="s">
        <v>326</v>
      </c>
      <c r="B7" s="2">
        <v>6328</v>
      </c>
      <c r="C7" s="2">
        <f>+B7*1.12</f>
        <v>7087.3600000000006</v>
      </c>
      <c r="D7" t="s">
        <v>327</v>
      </c>
      <c r="E7" s="2">
        <v>1130</v>
      </c>
      <c r="F7" s="2">
        <f t="shared" ref="F7:F8" si="0">C7/E7*1000</f>
        <v>6272</v>
      </c>
    </row>
    <row r="8" spans="1:6" x14ac:dyDescent="0.25">
      <c r="A8" t="s">
        <v>328</v>
      </c>
      <c r="B8" s="2">
        <v>9000</v>
      </c>
      <c r="C8" s="2">
        <f>+B8*1.1</f>
        <v>9900</v>
      </c>
      <c r="D8" t="s">
        <v>329</v>
      </c>
      <c r="E8" s="2">
        <v>800</v>
      </c>
      <c r="F8" s="2">
        <f t="shared" si="0"/>
        <v>12375</v>
      </c>
    </row>
    <row r="9" spans="1:6" ht="15.75" thickBot="1" x14ac:dyDescent="0.3">
      <c r="B9" s="19">
        <f>SUM(B6:B8)</f>
        <v>21328</v>
      </c>
      <c r="C9" s="19">
        <f>SUM(C6:C8)</f>
        <v>23287.360000000001</v>
      </c>
    </row>
    <row r="10" spans="1:6" ht="15.75" thickTop="1" x14ac:dyDescent="0.25"/>
    <row r="11" spans="1:6" x14ac:dyDescent="0.25">
      <c r="A11" s="8" t="s">
        <v>330</v>
      </c>
    </row>
    <row r="13" spans="1:6" x14ac:dyDescent="0.25">
      <c r="B13" s="8" t="s">
        <v>331</v>
      </c>
      <c r="C13" s="8" t="s">
        <v>332</v>
      </c>
    </row>
    <row r="14" spans="1:6" x14ac:dyDescent="0.25">
      <c r="A14" t="s">
        <v>324</v>
      </c>
      <c r="B14" s="2">
        <v>20000</v>
      </c>
      <c r="C14" s="9">
        <f>+F6*B14/1000</f>
        <v>3150</v>
      </c>
    </row>
    <row r="15" spans="1:6" x14ac:dyDescent="0.25">
      <c r="A15" t="s">
        <v>326</v>
      </c>
      <c r="B15" s="2">
        <v>1000</v>
      </c>
      <c r="C15" s="9">
        <f t="shared" ref="C15:C16" si="1">+F7*B15/1000</f>
        <v>6272</v>
      </c>
    </row>
    <row r="16" spans="1:6" x14ac:dyDescent="0.25">
      <c r="A16" t="s">
        <v>328</v>
      </c>
      <c r="B16" s="2">
        <v>600</v>
      </c>
      <c r="C16" s="9">
        <f t="shared" si="1"/>
        <v>7425</v>
      </c>
    </row>
    <row r="17" spans="3:3" ht="15.75" thickBot="1" x14ac:dyDescent="0.3">
      <c r="C17" s="19">
        <f>SUM(C14:C16)</f>
        <v>16847</v>
      </c>
    </row>
    <row r="18" spans="3:3" ht="15.75" thickTop="1" x14ac:dyDescent="0.25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workbookViewId="0">
      <selection activeCell="E21" sqref="E21"/>
    </sheetView>
  </sheetViews>
  <sheetFormatPr defaultRowHeight="15" x14ac:dyDescent="0.25"/>
  <cols>
    <col min="1" max="1" width="30.7109375" customWidth="1"/>
    <col min="2" max="2" width="20.5703125" customWidth="1"/>
    <col min="3" max="3" width="14" customWidth="1"/>
    <col min="4" max="4" width="14.28515625" bestFit="1" customWidth="1"/>
    <col min="5" max="6" width="14.28515625" customWidth="1"/>
    <col min="7" max="7" width="14.5703125" customWidth="1"/>
    <col min="8" max="8" width="17.140625" customWidth="1"/>
    <col min="9" max="9" width="10.5703125" bestFit="1" customWidth="1"/>
  </cols>
  <sheetData>
    <row r="2" spans="1:9" x14ac:dyDescent="0.25">
      <c r="A2" s="8" t="s">
        <v>217</v>
      </c>
    </row>
    <row r="4" spans="1:9" x14ac:dyDescent="0.25">
      <c r="B4" s="65" t="s">
        <v>218</v>
      </c>
      <c r="C4" s="65"/>
      <c r="D4" s="65"/>
      <c r="E4" s="66" t="s">
        <v>219</v>
      </c>
      <c r="F4" s="66"/>
      <c r="G4" s="66"/>
      <c r="H4" s="66"/>
      <c r="I4" s="2">
        <f>3000+11000</f>
        <v>14000</v>
      </c>
    </row>
    <row r="5" spans="1:9" x14ac:dyDescent="0.25">
      <c r="B5" t="s">
        <v>220</v>
      </c>
    </row>
    <row r="7" spans="1:9" x14ac:dyDescent="0.25">
      <c r="B7" s="67" t="s">
        <v>221</v>
      </c>
      <c r="C7" s="67"/>
      <c r="D7" s="67"/>
      <c r="E7" s="67"/>
      <c r="F7" s="67"/>
      <c r="G7" s="68" t="s">
        <v>222</v>
      </c>
      <c r="H7" s="68"/>
    </row>
    <row r="9" spans="1:9" x14ac:dyDescent="0.25">
      <c r="A9" t="s">
        <v>223</v>
      </c>
    </row>
    <row r="10" spans="1:9" x14ac:dyDescent="0.25">
      <c r="A10" s="37" t="s">
        <v>224</v>
      </c>
    </row>
    <row r="12" spans="1:9" x14ac:dyDescent="0.25">
      <c r="A12" t="s">
        <v>225</v>
      </c>
      <c r="D12" t="s">
        <v>226</v>
      </c>
      <c r="E12" t="s">
        <v>227</v>
      </c>
      <c r="F12" s="39">
        <f>8*3000^-0.152</f>
        <v>2.3690136128351207</v>
      </c>
      <c r="G12" s="2">
        <f>+F12*3000</f>
        <v>7107.0408385053624</v>
      </c>
    </row>
    <row r="13" spans="1:9" x14ac:dyDescent="0.25">
      <c r="A13" t="s">
        <v>228</v>
      </c>
      <c r="G13" s="2">
        <v>200</v>
      </c>
    </row>
    <row r="14" spans="1:9" ht="15.75" thickBot="1" x14ac:dyDescent="0.3">
      <c r="A14" s="8" t="s">
        <v>229</v>
      </c>
      <c r="B14" s="8"/>
      <c r="C14" s="8"/>
      <c r="D14" s="8"/>
      <c r="E14" s="8"/>
      <c r="F14" s="8"/>
      <c r="G14" s="41">
        <f>+G12*G13</f>
        <v>1421408.1677010725</v>
      </c>
    </row>
    <row r="15" spans="1:9" ht="15.75" thickTop="1" x14ac:dyDescent="0.25"/>
    <row r="16" spans="1:9" x14ac:dyDescent="0.25">
      <c r="A16" t="s">
        <v>230</v>
      </c>
    </row>
    <row r="17" spans="1:8" x14ac:dyDescent="0.25">
      <c r="A17" s="37" t="s">
        <v>231</v>
      </c>
    </row>
    <row r="19" spans="1:8" x14ac:dyDescent="0.25">
      <c r="A19" t="s">
        <v>232</v>
      </c>
      <c r="D19" t="s">
        <v>226</v>
      </c>
      <c r="E19" t="s">
        <v>233</v>
      </c>
      <c r="F19" s="39">
        <f>8*5000^-0.152</f>
        <v>2.1920302662463165</v>
      </c>
      <c r="G19" s="2">
        <f>+F19*5000</f>
        <v>10960.151331231582</v>
      </c>
    </row>
    <row r="20" spans="1:8" x14ac:dyDescent="0.25">
      <c r="A20" t="s">
        <v>228</v>
      </c>
      <c r="G20" s="2">
        <v>200</v>
      </c>
    </row>
    <row r="21" spans="1:8" ht="15.75" thickBot="1" x14ac:dyDescent="0.3">
      <c r="A21" s="8" t="s">
        <v>229</v>
      </c>
      <c r="B21" s="8"/>
      <c r="C21" s="8"/>
      <c r="D21" s="8"/>
      <c r="E21" s="8"/>
      <c r="F21" s="8"/>
      <c r="G21" s="41">
        <f>+G19*G20</f>
        <v>2192030.2662463165</v>
      </c>
    </row>
    <row r="22" spans="1:8" ht="15.75" thickTop="1" x14ac:dyDescent="0.25"/>
    <row r="23" spans="1:8" x14ac:dyDescent="0.25">
      <c r="A23" s="20" t="s">
        <v>234</v>
      </c>
    </row>
    <row r="24" spans="1:8" x14ac:dyDescent="0.25">
      <c r="A24" t="s">
        <v>235</v>
      </c>
    </row>
    <row r="25" spans="1:8" x14ac:dyDescent="0.25">
      <c r="A25" t="s">
        <v>236</v>
      </c>
      <c r="E25" t="s">
        <v>237</v>
      </c>
      <c r="G25" s="2">
        <f>2.369*11000*200</f>
        <v>5211800.0000000009</v>
      </c>
    </row>
    <row r="26" spans="1:8" x14ac:dyDescent="0.25">
      <c r="A26" t="s">
        <v>257</v>
      </c>
      <c r="E26" t="s">
        <v>256</v>
      </c>
      <c r="G26" s="2">
        <f>21000*200</f>
        <v>4200000</v>
      </c>
    </row>
    <row r="27" spans="1:8" ht="15.75" thickBot="1" x14ac:dyDescent="0.3">
      <c r="A27" t="s">
        <v>238</v>
      </c>
      <c r="G27" s="42">
        <f>G25-G26</f>
        <v>1011800.0000000009</v>
      </c>
      <c r="H27" t="s">
        <v>239</v>
      </c>
    </row>
    <row r="28" spans="1:8" ht="15.75" thickTop="1" x14ac:dyDescent="0.25"/>
    <row r="29" spans="1:8" x14ac:dyDescent="0.25">
      <c r="A29" s="37" t="s">
        <v>240</v>
      </c>
    </row>
    <row r="31" spans="1:8" x14ac:dyDescent="0.25">
      <c r="A31" s="8" t="s">
        <v>241</v>
      </c>
    </row>
    <row r="32" spans="1:8" x14ac:dyDescent="0.25">
      <c r="A32" t="s">
        <v>242</v>
      </c>
      <c r="C32" s="9">
        <f>+G19</f>
        <v>10960.151331231582</v>
      </c>
    </row>
    <row r="33" spans="1:8" x14ac:dyDescent="0.25">
      <c r="A33" t="s">
        <v>243</v>
      </c>
      <c r="C33" s="9">
        <f>+G12</f>
        <v>7107.0408385053624</v>
      </c>
    </row>
    <row r="34" spans="1:8" x14ac:dyDescent="0.25">
      <c r="A34" t="s">
        <v>244</v>
      </c>
      <c r="C34" s="9">
        <f>C32-C33</f>
        <v>3853.1104927262195</v>
      </c>
      <c r="D34" s="2">
        <v>200</v>
      </c>
      <c r="F34" s="9">
        <f>C34*D34</f>
        <v>770622.09854524385</v>
      </c>
    </row>
    <row r="35" spans="1:8" x14ac:dyDescent="0.25">
      <c r="A35" s="8" t="s">
        <v>250</v>
      </c>
    </row>
    <row r="36" spans="1:8" x14ac:dyDescent="0.25">
      <c r="A36" t="s">
        <v>245</v>
      </c>
      <c r="B36" t="s">
        <v>226</v>
      </c>
      <c r="C36" t="s">
        <v>246</v>
      </c>
      <c r="D36" s="39">
        <f>8*4999^-0.152</f>
        <v>2.1920969116441773</v>
      </c>
      <c r="E36" s="2">
        <f>+D36*4999</f>
        <v>10958.292461309242</v>
      </c>
    </row>
    <row r="37" spans="1:8" x14ac:dyDescent="0.25">
      <c r="A37" t="s">
        <v>232</v>
      </c>
      <c r="E37" s="9">
        <f>+G19</f>
        <v>10960.151331231582</v>
      </c>
    </row>
    <row r="38" spans="1:8" x14ac:dyDescent="0.25">
      <c r="A38" t="s">
        <v>247</v>
      </c>
      <c r="E38" s="44">
        <f>E37-E36</f>
        <v>1.8588699223400909</v>
      </c>
    </row>
    <row r="39" spans="1:8" x14ac:dyDescent="0.25">
      <c r="A39" t="s">
        <v>248</v>
      </c>
      <c r="E39" s="2">
        <v>9000</v>
      </c>
      <c r="H39" s="9"/>
    </row>
    <row r="40" spans="1:8" x14ac:dyDescent="0.25">
      <c r="A40" t="s">
        <v>249</v>
      </c>
      <c r="E40" s="9">
        <f>+E38*E39</f>
        <v>16729.829301060818</v>
      </c>
    </row>
    <row r="41" spans="1:8" x14ac:dyDescent="0.25">
      <c r="A41" t="s">
        <v>252</v>
      </c>
      <c r="E41" s="2"/>
      <c r="F41" s="9">
        <f>+C34+E40</f>
        <v>20582.939793787038</v>
      </c>
    </row>
    <row r="42" spans="1:8" ht="15.75" thickBot="1" x14ac:dyDescent="0.3">
      <c r="A42" t="s">
        <v>253</v>
      </c>
      <c r="F42" s="19">
        <v>21000</v>
      </c>
    </row>
    <row r="43" spans="1:8" ht="15.75" thickTop="1" x14ac:dyDescent="0.25">
      <c r="A43" t="s">
        <v>254</v>
      </c>
      <c r="F43" s="9">
        <f>F42-F41</f>
        <v>417.06020621296193</v>
      </c>
    </row>
    <row r="44" spans="1:8" ht="15.75" thickBot="1" x14ac:dyDescent="0.3">
      <c r="A44" s="10" t="s">
        <v>251</v>
      </c>
      <c r="B44" s="10"/>
      <c r="C44" s="10"/>
      <c r="D44" s="10"/>
      <c r="E44" s="10" t="s">
        <v>255</v>
      </c>
      <c r="F44" s="14">
        <f>+F43*200</f>
        <v>83412.041242592386</v>
      </c>
    </row>
    <row r="45" spans="1:8" ht="15.75" thickTop="1" x14ac:dyDescent="0.25"/>
    <row r="46" spans="1:8" x14ac:dyDescent="0.25">
      <c r="A46" t="s">
        <v>258</v>
      </c>
    </row>
    <row r="47" spans="1:8" x14ac:dyDescent="0.25">
      <c r="C47" s="45" t="s">
        <v>259</v>
      </c>
      <c r="D47" s="45" t="s">
        <v>47</v>
      </c>
      <c r="E47" s="45" t="s">
        <v>72</v>
      </c>
    </row>
    <row r="48" spans="1:8" x14ac:dyDescent="0.25">
      <c r="A48" t="s">
        <v>260</v>
      </c>
      <c r="C48" s="2">
        <v>11000</v>
      </c>
      <c r="D48" s="2">
        <v>11000</v>
      </c>
    </row>
    <row r="49" spans="1:6" x14ac:dyDescent="0.25">
      <c r="A49" t="s">
        <v>81</v>
      </c>
      <c r="B49" t="s">
        <v>262</v>
      </c>
      <c r="C49" s="2">
        <f>2*500*11000</f>
        <v>11000000</v>
      </c>
      <c r="D49" s="2">
        <v>12705000</v>
      </c>
      <c r="E49" s="9">
        <f>D49-C49</f>
        <v>1705000</v>
      </c>
      <c r="F49" t="s">
        <v>179</v>
      </c>
    </row>
    <row r="50" spans="1:6" x14ac:dyDescent="0.25">
      <c r="A50" t="s">
        <v>184</v>
      </c>
      <c r="B50" t="s">
        <v>263</v>
      </c>
      <c r="C50" s="2">
        <f>+F41*200</f>
        <v>4116587.9587574075</v>
      </c>
      <c r="D50" s="2">
        <v>4305000</v>
      </c>
      <c r="E50" s="9">
        <f>+D50-C50</f>
        <v>188412.0412425925</v>
      </c>
      <c r="F50" t="s">
        <v>179</v>
      </c>
    </row>
    <row r="51" spans="1:6" x14ac:dyDescent="0.25">
      <c r="A51" t="s">
        <v>160</v>
      </c>
      <c r="B51" t="s">
        <v>264</v>
      </c>
      <c r="C51" s="2">
        <f>11000*400</f>
        <v>4400000</v>
      </c>
      <c r="D51" s="2">
        <v>4180000</v>
      </c>
      <c r="E51" s="9">
        <f>+C51-D51</f>
        <v>220000</v>
      </c>
      <c r="F51" t="s">
        <v>180</v>
      </c>
    </row>
    <row r="52" spans="1:6" x14ac:dyDescent="0.25">
      <c r="A52" t="s">
        <v>261</v>
      </c>
      <c r="C52" s="2">
        <v>7000000</v>
      </c>
      <c r="D52" s="2">
        <v>7500000</v>
      </c>
      <c r="E52" s="9">
        <f>D52-C52</f>
        <v>500000</v>
      </c>
      <c r="F52" t="s">
        <v>179</v>
      </c>
    </row>
    <row r="53" spans="1:6" x14ac:dyDescent="0.25">
      <c r="C53" s="9">
        <f>SUM(C49:C52)</f>
        <v>26516587.958757408</v>
      </c>
      <c r="D53" s="9">
        <f>SUM(D49:D52)</f>
        <v>28690000</v>
      </c>
      <c r="E53" s="9">
        <f>D53-C53</f>
        <v>2173412.041242592</v>
      </c>
      <c r="F53" t="s">
        <v>179</v>
      </c>
    </row>
  </sheetData>
  <mergeCells count="4">
    <mergeCell ref="B4:D4"/>
    <mergeCell ref="E4:H4"/>
    <mergeCell ref="B7:F7"/>
    <mergeCell ref="G7:H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I19" sqref="I19"/>
    </sheetView>
  </sheetViews>
  <sheetFormatPr defaultRowHeight="15" x14ac:dyDescent="0.25"/>
  <cols>
    <col min="1" max="1" width="18" customWidth="1"/>
    <col min="3" max="3" width="18" customWidth="1"/>
    <col min="4" max="4" width="12.42578125" customWidth="1"/>
    <col min="5" max="5" width="12.5703125" bestFit="1" customWidth="1"/>
    <col min="6" max="6" width="16.85546875" bestFit="1" customWidth="1"/>
    <col min="7" max="7" width="10.5703125" customWidth="1"/>
  </cols>
  <sheetData>
    <row r="2" spans="1:7" x14ac:dyDescent="0.25">
      <c r="A2" s="8" t="s">
        <v>191</v>
      </c>
    </row>
    <row r="3" spans="1:7" x14ac:dyDescent="0.25">
      <c r="G3">
        <f>380/400</f>
        <v>0.95</v>
      </c>
    </row>
    <row r="4" spans="1:7" x14ac:dyDescent="0.25">
      <c r="A4" s="20" t="s">
        <v>192</v>
      </c>
    </row>
    <row r="5" spans="1:7" x14ac:dyDescent="0.25">
      <c r="E5" t="s">
        <v>201</v>
      </c>
      <c r="F5" t="s">
        <v>196</v>
      </c>
    </row>
    <row r="6" spans="1:7" ht="60" x14ac:dyDescent="0.25">
      <c r="A6" t="s">
        <v>171</v>
      </c>
      <c r="C6" s="30" t="s">
        <v>193</v>
      </c>
      <c r="D6" s="30" t="s">
        <v>194</v>
      </c>
      <c r="E6" s="31" t="s">
        <v>195</v>
      </c>
      <c r="F6" s="31" t="s">
        <v>197</v>
      </c>
      <c r="G6" s="31" t="s">
        <v>198</v>
      </c>
    </row>
    <row r="7" spans="1:7" x14ac:dyDescent="0.25">
      <c r="A7" t="s">
        <v>200</v>
      </c>
      <c r="C7" s="2">
        <f>400*360*30000/1000000</f>
        <v>4320</v>
      </c>
      <c r="D7" s="9">
        <f>C7/4</f>
        <v>1080</v>
      </c>
      <c r="E7" s="32">
        <f>+D7*0.9</f>
        <v>972</v>
      </c>
      <c r="F7" s="32">
        <f>400*0.95*90*30000/1000000</f>
        <v>1026</v>
      </c>
      <c r="G7" s="33">
        <f>F29/1000000</f>
        <v>1043.5</v>
      </c>
    </row>
    <row r="8" spans="1:7" x14ac:dyDescent="0.25">
      <c r="A8" s="20" t="s">
        <v>173</v>
      </c>
      <c r="E8" s="34"/>
      <c r="F8" s="34"/>
      <c r="G8" s="34"/>
    </row>
    <row r="9" spans="1:7" x14ac:dyDescent="0.25">
      <c r="A9" t="s">
        <v>82</v>
      </c>
      <c r="B9" s="3">
        <v>0.7</v>
      </c>
      <c r="C9" s="2">
        <f>820*0.7</f>
        <v>574</v>
      </c>
      <c r="D9" s="2">
        <f>+C9/4</f>
        <v>143.5</v>
      </c>
      <c r="E9" s="32">
        <f>+D9*0.9</f>
        <v>129.15</v>
      </c>
      <c r="F9" s="32">
        <f>+E9/0.9*0.95</f>
        <v>136.32499999999999</v>
      </c>
      <c r="G9" s="32">
        <v>137.5</v>
      </c>
    </row>
    <row r="10" spans="1:7" x14ac:dyDescent="0.25">
      <c r="A10" t="s">
        <v>83</v>
      </c>
      <c r="B10" s="3">
        <v>0.2</v>
      </c>
      <c r="C10" s="2">
        <f>160*0.2</f>
        <v>32</v>
      </c>
      <c r="D10" s="2">
        <f t="shared" ref="D10:D15" si="0">+C10/4</f>
        <v>8</v>
      </c>
      <c r="E10" s="32">
        <f t="shared" ref="E10:E13" si="1">+D10*0.9</f>
        <v>7.2</v>
      </c>
      <c r="F10" s="32">
        <f t="shared" ref="F10:F13" si="2">+E10/0.9*0.95</f>
        <v>7.6</v>
      </c>
      <c r="G10" s="32">
        <v>7.625</v>
      </c>
    </row>
    <row r="11" spans="1:7" x14ac:dyDescent="0.25">
      <c r="A11" t="s">
        <v>202</v>
      </c>
      <c r="B11" s="3">
        <v>1</v>
      </c>
      <c r="C11" s="2">
        <v>400</v>
      </c>
      <c r="D11" s="2">
        <f t="shared" si="0"/>
        <v>100</v>
      </c>
      <c r="E11" s="32">
        <f t="shared" si="1"/>
        <v>90</v>
      </c>
      <c r="F11" s="32">
        <f t="shared" si="2"/>
        <v>95</v>
      </c>
      <c r="G11" s="32">
        <v>96.9</v>
      </c>
    </row>
    <row r="12" spans="1:7" x14ac:dyDescent="0.25">
      <c r="A12" t="s">
        <v>203</v>
      </c>
      <c r="B12" s="3">
        <v>0.3</v>
      </c>
      <c r="C12" s="2">
        <f>1300*0.3</f>
        <v>390</v>
      </c>
      <c r="D12" s="2">
        <f t="shared" si="0"/>
        <v>97.5</v>
      </c>
      <c r="E12" s="32">
        <f t="shared" si="1"/>
        <v>87.75</v>
      </c>
      <c r="F12" s="32">
        <f t="shared" si="2"/>
        <v>92.625</v>
      </c>
      <c r="G12" s="32">
        <v>92.625</v>
      </c>
    </row>
    <row r="13" spans="1:7" x14ac:dyDescent="0.25">
      <c r="A13" t="s">
        <v>204</v>
      </c>
      <c r="B13" s="3">
        <v>0.25</v>
      </c>
      <c r="C13" s="2">
        <f>500*0.25</f>
        <v>125</v>
      </c>
      <c r="D13" s="2">
        <f t="shared" si="0"/>
        <v>31.25</v>
      </c>
      <c r="E13" s="32">
        <f t="shared" si="1"/>
        <v>28.125</v>
      </c>
      <c r="F13" s="32">
        <f t="shared" si="2"/>
        <v>29.6875</v>
      </c>
      <c r="G13" s="32">
        <v>30</v>
      </c>
    </row>
    <row r="14" spans="1:7" x14ac:dyDescent="0.25">
      <c r="C14" s="2">
        <f>SUM(C9:C13)</f>
        <v>1521</v>
      </c>
      <c r="D14" s="2">
        <f t="shared" si="0"/>
        <v>380.25</v>
      </c>
      <c r="E14" s="33">
        <f>SUM(E9:E13)</f>
        <v>342.22500000000002</v>
      </c>
      <c r="F14" s="33">
        <f>SUM(F9:F13)</f>
        <v>361.23749999999995</v>
      </c>
      <c r="G14" s="33">
        <f>SUM(G9:G13)</f>
        <v>364.65</v>
      </c>
    </row>
    <row r="15" spans="1:7" s="8" customFormat="1" x14ac:dyDescent="0.25">
      <c r="A15" s="8" t="s">
        <v>174</v>
      </c>
      <c r="C15" s="12">
        <f>C7-C14</f>
        <v>2799</v>
      </c>
      <c r="D15" s="12">
        <f t="shared" si="0"/>
        <v>699.75</v>
      </c>
      <c r="E15" s="35">
        <f>E7-E14</f>
        <v>629.77499999999998</v>
      </c>
      <c r="F15" s="35">
        <f>F7-F14</f>
        <v>664.76250000000005</v>
      </c>
      <c r="G15" s="35">
        <f>G7-G14</f>
        <v>678.85</v>
      </c>
    </row>
    <row r="16" spans="1:7" x14ac:dyDescent="0.25">
      <c r="A16" s="20" t="s">
        <v>175</v>
      </c>
      <c r="C16" s="2"/>
      <c r="E16" s="34"/>
      <c r="F16" s="34"/>
      <c r="G16" s="32"/>
    </row>
    <row r="17" spans="1:7" x14ac:dyDescent="0.25">
      <c r="A17" t="s">
        <v>186</v>
      </c>
      <c r="B17" s="3">
        <v>1</v>
      </c>
      <c r="C17" s="2">
        <v>460</v>
      </c>
      <c r="D17" s="2">
        <f>+C17/4</f>
        <v>115</v>
      </c>
      <c r="E17" s="33">
        <f>+D17</f>
        <v>115</v>
      </c>
      <c r="F17" s="33">
        <f>+E17</f>
        <v>115</v>
      </c>
      <c r="G17" s="32">
        <v>110</v>
      </c>
    </row>
    <row r="18" spans="1:7" x14ac:dyDescent="0.25">
      <c r="A18" t="s">
        <v>82</v>
      </c>
      <c r="B18" s="3">
        <v>0.3</v>
      </c>
      <c r="C18" s="2">
        <f>820*0.3</f>
        <v>246</v>
      </c>
      <c r="D18" s="2">
        <f t="shared" ref="D18:D21" si="3">+C18/4</f>
        <v>61.5</v>
      </c>
      <c r="E18" s="33">
        <f t="shared" ref="E18:F21" si="4">+D18</f>
        <v>61.5</v>
      </c>
      <c r="F18" s="33">
        <f t="shared" si="4"/>
        <v>61.5</v>
      </c>
      <c r="G18" s="32">
        <v>62</v>
      </c>
    </row>
    <row r="19" spans="1:7" x14ac:dyDescent="0.25">
      <c r="A19" t="s">
        <v>83</v>
      </c>
      <c r="B19" s="3">
        <v>0.8</v>
      </c>
      <c r="C19" s="2">
        <f>160*0.8</f>
        <v>128</v>
      </c>
      <c r="D19" s="2">
        <f t="shared" si="3"/>
        <v>32</v>
      </c>
      <c r="E19" s="33">
        <f t="shared" si="4"/>
        <v>32</v>
      </c>
      <c r="F19" s="33">
        <f t="shared" si="4"/>
        <v>32</v>
      </c>
      <c r="G19" s="32">
        <v>31</v>
      </c>
    </row>
    <row r="20" spans="1:7" x14ac:dyDescent="0.25">
      <c r="A20" t="s">
        <v>203</v>
      </c>
      <c r="B20" s="3">
        <v>0.7</v>
      </c>
      <c r="C20" s="2">
        <f>1300*0.7</f>
        <v>909.99999999999989</v>
      </c>
      <c r="D20" s="2">
        <f t="shared" si="3"/>
        <v>227.49999999999997</v>
      </c>
      <c r="E20" s="33">
        <f t="shared" si="4"/>
        <v>227.49999999999997</v>
      </c>
      <c r="F20" s="33">
        <f t="shared" si="4"/>
        <v>227.49999999999997</v>
      </c>
      <c r="G20" s="32">
        <v>218</v>
      </c>
    </row>
    <row r="21" spans="1:7" x14ac:dyDescent="0.25">
      <c r="A21" t="s">
        <v>204</v>
      </c>
      <c r="B21" s="3">
        <v>0.75</v>
      </c>
      <c r="C21" s="2">
        <f>500*0.75</f>
        <v>375</v>
      </c>
      <c r="D21" s="2">
        <f t="shared" si="3"/>
        <v>93.75</v>
      </c>
      <c r="E21" s="33">
        <f t="shared" si="4"/>
        <v>93.75</v>
      </c>
      <c r="F21" s="33">
        <f t="shared" si="4"/>
        <v>93.75</v>
      </c>
      <c r="G21" s="32">
        <v>90</v>
      </c>
    </row>
    <row r="22" spans="1:7" x14ac:dyDescent="0.25">
      <c r="C22" s="9">
        <f>SUM(C17:C21)</f>
        <v>2119</v>
      </c>
      <c r="D22" s="9">
        <f>SUM(D17:D21)</f>
        <v>529.75</v>
      </c>
      <c r="E22" s="33">
        <f>SUM(E17:E21)</f>
        <v>529.75</v>
      </c>
      <c r="F22" s="33">
        <f>SUM(F17:F21)</f>
        <v>529.75</v>
      </c>
      <c r="G22" s="33">
        <f>SUM(G17:G21)</f>
        <v>511</v>
      </c>
    </row>
    <row r="23" spans="1:7" s="8" customFormat="1" ht="15.75" thickBot="1" x14ac:dyDescent="0.3">
      <c r="A23" s="8" t="s">
        <v>176</v>
      </c>
      <c r="C23" s="27">
        <f>C15-C22</f>
        <v>680</v>
      </c>
      <c r="D23" s="27">
        <f>D15-D22</f>
        <v>170</v>
      </c>
      <c r="E23" s="36">
        <f>E15-E22</f>
        <v>100.02499999999998</v>
      </c>
      <c r="F23" s="36">
        <f>F15-F22</f>
        <v>135.01250000000005</v>
      </c>
      <c r="G23" s="36">
        <f>G15-G22</f>
        <v>167.85000000000002</v>
      </c>
    </row>
    <row r="24" spans="1:7" ht="15.75" thickTop="1" x14ac:dyDescent="0.25"/>
    <row r="25" spans="1:7" x14ac:dyDescent="0.25">
      <c r="A25" t="s">
        <v>205</v>
      </c>
    </row>
    <row r="26" spans="1:7" x14ac:dyDescent="0.25">
      <c r="A26" t="s">
        <v>206</v>
      </c>
      <c r="C26" t="s">
        <v>207</v>
      </c>
      <c r="D26" s="2">
        <f>380*90</f>
        <v>34200</v>
      </c>
    </row>
    <row r="27" spans="1:7" x14ac:dyDescent="0.25">
      <c r="A27" t="s">
        <v>208</v>
      </c>
      <c r="D27" s="2">
        <v>3500</v>
      </c>
      <c r="E27" s="2">
        <v>35000</v>
      </c>
      <c r="F27" s="2">
        <f>D27*E27</f>
        <v>122500000</v>
      </c>
    </row>
    <row r="28" spans="1:7" x14ac:dyDescent="0.25">
      <c r="A28" t="s">
        <v>209</v>
      </c>
      <c r="D28" s="9">
        <f>D26-D27</f>
        <v>30700</v>
      </c>
      <c r="E28" s="2">
        <v>30000</v>
      </c>
      <c r="F28" s="2">
        <f>+D28*E28</f>
        <v>921000000</v>
      </c>
    </row>
    <row r="29" spans="1:7" x14ac:dyDescent="0.25">
      <c r="F29" s="9">
        <f>SUM(F27:F28)</f>
        <v>1043500000</v>
      </c>
    </row>
    <row r="31" spans="1:7" x14ac:dyDescent="0.25">
      <c r="A31" s="8" t="s">
        <v>210</v>
      </c>
      <c r="D31" s="7" t="s">
        <v>171</v>
      </c>
    </row>
    <row r="32" spans="1:7" x14ac:dyDescent="0.25">
      <c r="A32" s="8" t="s">
        <v>211</v>
      </c>
      <c r="D32" s="9">
        <f>+E23</f>
        <v>100.02499999999998</v>
      </c>
    </row>
    <row r="33" spans="1:5" x14ac:dyDescent="0.25">
      <c r="A33" t="s">
        <v>212</v>
      </c>
      <c r="D33" s="9">
        <f>+F7-E7</f>
        <v>54</v>
      </c>
      <c r="E33" t="s">
        <v>180</v>
      </c>
    </row>
    <row r="34" spans="1:5" x14ac:dyDescent="0.25">
      <c r="A34" t="s">
        <v>213</v>
      </c>
      <c r="D34" s="9">
        <f>+F14-E14</f>
        <v>19.012499999999932</v>
      </c>
      <c r="E34" t="s">
        <v>179</v>
      </c>
    </row>
    <row r="35" spans="1:5" x14ac:dyDescent="0.25">
      <c r="A35" s="8" t="s">
        <v>214</v>
      </c>
      <c r="D35" s="9">
        <f>D32+D33-D34</f>
        <v>135.01250000000005</v>
      </c>
    </row>
    <row r="36" spans="1:5" x14ac:dyDescent="0.25">
      <c r="A36" t="s">
        <v>212</v>
      </c>
      <c r="D36" s="9">
        <f>+G7-F7</f>
        <v>17.5</v>
      </c>
      <c r="E36" t="s">
        <v>180</v>
      </c>
    </row>
    <row r="37" spans="1:5" x14ac:dyDescent="0.25">
      <c r="A37" t="s">
        <v>213</v>
      </c>
      <c r="D37" s="9">
        <f>G14-F14</f>
        <v>3.4125000000000227</v>
      </c>
      <c r="E37" t="s">
        <v>179</v>
      </c>
    </row>
    <row r="38" spans="1:5" x14ac:dyDescent="0.25">
      <c r="A38" t="s">
        <v>215</v>
      </c>
      <c r="D38" s="9">
        <f>+F22-G22</f>
        <v>18.75</v>
      </c>
      <c r="E38" t="s">
        <v>180</v>
      </c>
    </row>
    <row r="39" spans="1:5" x14ac:dyDescent="0.25">
      <c r="A39" s="8" t="s">
        <v>216</v>
      </c>
      <c r="B39" s="8"/>
      <c r="C39" s="8"/>
      <c r="D39" s="26">
        <f>D35+D36-D37+D38</f>
        <v>167.85000000000002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abSelected="1" workbookViewId="0">
      <selection activeCell="J17" sqref="J17"/>
    </sheetView>
  </sheetViews>
  <sheetFormatPr defaultRowHeight="15" x14ac:dyDescent="0.25"/>
  <cols>
    <col min="1" max="1" width="32.42578125" customWidth="1"/>
    <col min="2" max="2" width="15.42578125" customWidth="1"/>
    <col min="3" max="3" width="15.5703125" customWidth="1"/>
    <col min="4" max="4" width="18.42578125" customWidth="1"/>
    <col min="5" max="5" width="10.5703125" customWidth="1"/>
    <col min="6" max="6" width="9.5703125" bestFit="1" customWidth="1"/>
    <col min="8" max="8" width="13.28515625" bestFit="1" customWidth="1"/>
    <col min="9" max="9" width="4.7109375" customWidth="1"/>
  </cols>
  <sheetData>
    <row r="2" spans="1:6" x14ac:dyDescent="0.25">
      <c r="A2" s="8" t="s">
        <v>266</v>
      </c>
    </row>
    <row r="4" spans="1:6" ht="45" x14ac:dyDescent="0.25">
      <c r="A4" t="s">
        <v>42</v>
      </c>
      <c r="E4" s="30" t="s">
        <v>267</v>
      </c>
    </row>
    <row r="5" spans="1:6" x14ac:dyDescent="0.25">
      <c r="A5" t="s">
        <v>268</v>
      </c>
      <c r="C5" t="s">
        <v>269</v>
      </c>
      <c r="E5" s="2">
        <f>1258.03*1000/1000</f>
        <v>1258.03</v>
      </c>
    </row>
    <row r="7" spans="1:6" x14ac:dyDescent="0.25">
      <c r="A7" t="s">
        <v>270</v>
      </c>
      <c r="C7" t="s">
        <v>271</v>
      </c>
      <c r="E7" s="2">
        <f>1258.03*750/1000</f>
        <v>943.52250000000004</v>
      </c>
    </row>
    <row r="9" spans="1:6" x14ac:dyDescent="0.25">
      <c r="A9" s="8" t="s">
        <v>272</v>
      </c>
    </row>
    <row r="10" spans="1:6" ht="60.75" thickBot="1" x14ac:dyDescent="0.3">
      <c r="A10" s="8" t="s">
        <v>273</v>
      </c>
      <c r="B10">
        <v>1</v>
      </c>
      <c r="C10">
        <v>2</v>
      </c>
      <c r="D10">
        <v>3</v>
      </c>
      <c r="E10" s="29" t="s">
        <v>274</v>
      </c>
    </row>
    <row r="11" spans="1:6" ht="15.75" thickBot="1" x14ac:dyDescent="0.3">
      <c r="B11" s="69" t="s">
        <v>275</v>
      </c>
      <c r="C11" s="70"/>
      <c r="D11" s="71"/>
      <c r="E11" s="46" t="s">
        <v>276</v>
      </c>
    </row>
    <row r="12" spans="1:6" ht="15.75" thickBot="1" x14ac:dyDescent="0.3">
      <c r="B12" s="72" t="s">
        <v>277</v>
      </c>
      <c r="C12" s="73"/>
      <c r="D12" s="73"/>
      <c r="E12" s="74"/>
    </row>
    <row r="13" spans="1:6" x14ac:dyDescent="0.25">
      <c r="E13" t="s">
        <v>278</v>
      </c>
      <c r="F13" t="s">
        <v>279</v>
      </c>
    </row>
    <row r="14" spans="1:6" x14ac:dyDescent="0.25">
      <c r="E14" s="47" t="s">
        <v>280</v>
      </c>
      <c r="F14" t="s">
        <v>281</v>
      </c>
    </row>
    <row r="15" spans="1:6" x14ac:dyDescent="0.25">
      <c r="A15" t="s">
        <v>282</v>
      </c>
    </row>
    <row r="17" spans="1:4" x14ac:dyDescent="0.25">
      <c r="A17" t="s">
        <v>283</v>
      </c>
    </row>
    <row r="19" spans="1:4" x14ac:dyDescent="0.25">
      <c r="A19" t="s">
        <v>284</v>
      </c>
      <c r="B19" t="s">
        <v>285</v>
      </c>
      <c r="C19" s="48">
        <f>2*10000^-0.152</f>
        <v>0.49320786744686779</v>
      </c>
      <c r="D19" s="2">
        <f>C19*10000</f>
        <v>4932.0786744686775</v>
      </c>
    </row>
    <row r="20" spans="1:4" x14ac:dyDescent="0.25">
      <c r="A20" t="s">
        <v>286</v>
      </c>
      <c r="B20" t="s">
        <v>287</v>
      </c>
      <c r="C20" s="38">
        <f>2*9000^-0.152</f>
        <v>0.5011700784311135</v>
      </c>
      <c r="D20" s="2">
        <f>C20*9000</f>
        <v>4510.5307058800217</v>
      </c>
    </row>
    <row r="21" spans="1:4" x14ac:dyDescent="0.25">
      <c r="A21" s="6" t="s">
        <v>288</v>
      </c>
      <c r="B21" s="6"/>
      <c r="C21" s="6"/>
      <c r="D21" s="17">
        <f>D19-D20</f>
        <v>421.54796858865575</v>
      </c>
    </row>
    <row r="23" spans="1:4" x14ac:dyDescent="0.25">
      <c r="A23" t="s">
        <v>289</v>
      </c>
      <c r="B23" t="s">
        <v>290</v>
      </c>
      <c r="C23" s="48">
        <f>2*9999^-0.152</f>
        <v>0.49321536463829735</v>
      </c>
      <c r="D23" s="2">
        <f>C23*9999</f>
        <v>4931.6604310183347</v>
      </c>
    </row>
    <row r="24" spans="1:4" x14ac:dyDescent="0.25">
      <c r="A24" t="s">
        <v>284</v>
      </c>
      <c r="D24" s="9">
        <f>+D19</f>
        <v>4932.0786744686775</v>
      </c>
    </row>
    <row r="25" spans="1:4" x14ac:dyDescent="0.25">
      <c r="A25" t="s">
        <v>291</v>
      </c>
      <c r="D25" s="44">
        <f>D24-D23</f>
        <v>0.41824345034274302</v>
      </c>
    </row>
    <row r="27" spans="1:4" x14ac:dyDescent="0.25">
      <c r="A27" s="6" t="s">
        <v>292</v>
      </c>
      <c r="B27" s="6"/>
      <c r="C27" s="6" t="s">
        <v>293</v>
      </c>
      <c r="D27" s="18">
        <f>D25*2000</f>
        <v>836.48690068548603</v>
      </c>
    </row>
    <row r="29" spans="1:4" x14ac:dyDescent="0.25">
      <c r="A29" t="s">
        <v>294</v>
      </c>
      <c r="D29" s="9">
        <f>D21+D27</f>
        <v>1258.0348692741418</v>
      </c>
    </row>
    <row r="31" spans="1:4" x14ac:dyDescent="0.25">
      <c r="A31" t="s">
        <v>228</v>
      </c>
      <c r="B31" t="s">
        <v>295</v>
      </c>
      <c r="D31" s="2">
        <f>6000000/6000</f>
        <v>1000</v>
      </c>
    </row>
    <row r="33" spans="1:6" x14ac:dyDescent="0.25">
      <c r="A33" t="s">
        <v>296</v>
      </c>
      <c r="B33" t="s">
        <v>297</v>
      </c>
      <c r="D33" s="2">
        <f>4500000/6000</f>
        <v>750</v>
      </c>
    </row>
    <row r="36" spans="1:6" x14ac:dyDescent="0.25">
      <c r="A36" t="s">
        <v>45</v>
      </c>
    </row>
    <row r="37" spans="1:6" x14ac:dyDescent="0.25">
      <c r="A37" s="8" t="s">
        <v>298</v>
      </c>
    </row>
    <row r="38" spans="1:6" ht="30" x14ac:dyDescent="0.25">
      <c r="B38" s="30" t="s">
        <v>299</v>
      </c>
      <c r="C38" s="30" t="s">
        <v>300</v>
      </c>
      <c r="D38" s="30" t="s">
        <v>301</v>
      </c>
      <c r="E38" s="30" t="s">
        <v>302</v>
      </c>
    </row>
    <row r="39" spans="1:6" x14ac:dyDescent="0.25">
      <c r="A39" s="6" t="s">
        <v>170</v>
      </c>
      <c r="B39" s="18">
        <v>3000</v>
      </c>
      <c r="C39" s="18">
        <v>2500</v>
      </c>
      <c r="D39" s="18">
        <v>2500</v>
      </c>
      <c r="E39" s="9">
        <f>C39-D39</f>
        <v>0</v>
      </c>
    </row>
    <row r="40" spans="1:6" x14ac:dyDescent="0.25">
      <c r="A40" t="s">
        <v>199</v>
      </c>
      <c r="B40" s="2">
        <v>39000</v>
      </c>
      <c r="C40" s="2">
        <f>39000/B39*C39</f>
        <v>32500</v>
      </c>
      <c r="D40" s="2">
        <v>32250</v>
      </c>
      <c r="E40" s="9">
        <f>C40-D40</f>
        <v>250</v>
      </c>
      <c r="F40" t="s">
        <v>179</v>
      </c>
    </row>
    <row r="41" spans="1:6" x14ac:dyDescent="0.25">
      <c r="A41" s="8" t="s">
        <v>173</v>
      </c>
      <c r="B41" s="2"/>
      <c r="D41" s="2"/>
    </row>
    <row r="42" spans="1:6" x14ac:dyDescent="0.25">
      <c r="A42" t="s">
        <v>81</v>
      </c>
      <c r="B42" s="2">
        <v>15000</v>
      </c>
      <c r="C42" s="9">
        <f>B42/B39*C39</f>
        <v>12500</v>
      </c>
      <c r="D42" s="2">
        <v>12750</v>
      </c>
      <c r="E42" s="9">
        <f>D42-C42</f>
        <v>250</v>
      </c>
      <c r="F42" t="s">
        <v>179</v>
      </c>
    </row>
    <row r="43" spans="1:6" x14ac:dyDescent="0.25">
      <c r="A43" t="s">
        <v>184</v>
      </c>
      <c r="B43" s="18">
        <f>+E5</f>
        <v>1258.03</v>
      </c>
      <c r="C43" s="49">
        <f>+D64</f>
        <v>1048.9131441027703</v>
      </c>
      <c r="D43" s="2">
        <v>1750</v>
      </c>
      <c r="E43" s="9">
        <f>D43-C43</f>
        <v>701.08685589722973</v>
      </c>
      <c r="F43" t="s">
        <v>179</v>
      </c>
    </row>
    <row r="44" spans="1:6" x14ac:dyDescent="0.25">
      <c r="A44" t="s">
        <v>160</v>
      </c>
      <c r="B44" s="50">
        <f>+E7</f>
        <v>943.52250000000004</v>
      </c>
      <c r="C44" s="51">
        <f>D64*750/1000</f>
        <v>786.68485807707771</v>
      </c>
      <c r="D44" s="52">
        <v>1200</v>
      </c>
      <c r="E44" s="53">
        <f>D44-C44</f>
        <v>413.31514192292229</v>
      </c>
      <c r="F44" t="s">
        <v>179</v>
      </c>
    </row>
    <row r="45" spans="1:6" x14ac:dyDescent="0.25">
      <c r="B45" s="2">
        <f>B40-B42-B43-B44</f>
        <v>21798.447500000002</v>
      </c>
      <c r="C45" s="2">
        <f>C40-C42-C43-C44</f>
        <v>18164.40199782015</v>
      </c>
      <c r="D45" s="2">
        <f>D40-D42-D43-D44</f>
        <v>16550</v>
      </c>
      <c r="E45" s="9">
        <f>C45-D45</f>
        <v>1614.4019978201504</v>
      </c>
      <c r="F45" t="s">
        <v>179</v>
      </c>
    </row>
    <row r="46" spans="1:6" x14ac:dyDescent="0.25">
      <c r="A46" t="s">
        <v>175</v>
      </c>
      <c r="B46" s="2">
        <v>9000</v>
      </c>
      <c r="C46" s="2">
        <v>9000</v>
      </c>
      <c r="D46" s="2">
        <v>8600</v>
      </c>
      <c r="E46" s="9">
        <f>C46-D46</f>
        <v>400</v>
      </c>
      <c r="F46" t="s">
        <v>180</v>
      </c>
    </row>
    <row r="47" spans="1:6" ht="15.75" thickBot="1" x14ac:dyDescent="0.3">
      <c r="A47" t="s">
        <v>176</v>
      </c>
      <c r="B47" s="54">
        <f>B45-B46</f>
        <v>12798.447500000002</v>
      </c>
      <c r="C47" s="54">
        <f>C45-C46</f>
        <v>9164.4019978201504</v>
      </c>
      <c r="D47" s="54">
        <f>D45-D46</f>
        <v>7950</v>
      </c>
      <c r="E47" s="19">
        <f>C47-D47</f>
        <v>1214.4019978201504</v>
      </c>
      <c r="F47" t="s">
        <v>179</v>
      </c>
    </row>
    <row r="48" spans="1:6" ht="15.75" thickTop="1" x14ac:dyDescent="0.25"/>
    <row r="50" spans="1:4" x14ac:dyDescent="0.25">
      <c r="A50" t="s">
        <v>282</v>
      </c>
    </row>
    <row r="52" spans="1:4" x14ac:dyDescent="0.25">
      <c r="A52" t="s">
        <v>283</v>
      </c>
    </row>
    <row r="54" spans="1:4" x14ac:dyDescent="0.25">
      <c r="A54" t="s">
        <v>284</v>
      </c>
      <c r="B54" t="s">
        <v>285</v>
      </c>
      <c r="C54" s="48">
        <f>2*10000^-0.152</f>
        <v>0.49320786744686779</v>
      </c>
      <c r="D54" s="2">
        <f>C54*10000</f>
        <v>4932.0786744686775</v>
      </c>
    </row>
    <row r="55" spans="1:4" x14ac:dyDescent="0.25">
      <c r="A55" t="s">
        <v>286</v>
      </c>
      <c r="B55" t="s">
        <v>287</v>
      </c>
      <c r="C55" s="38">
        <f>2*9000^-0.152</f>
        <v>0.5011700784311135</v>
      </c>
      <c r="D55" s="2">
        <f>C55*9000</f>
        <v>4510.5307058800217</v>
      </c>
    </row>
    <row r="56" spans="1:4" x14ac:dyDescent="0.25">
      <c r="A56" s="6" t="s">
        <v>288</v>
      </c>
      <c r="B56" s="6"/>
      <c r="C56" s="6"/>
      <c r="D56" s="17">
        <f>D54-D55</f>
        <v>421.54796858865575</v>
      </c>
    </row>
    <row r="58" spans="1:4" x14ac:dyDescent="0.25">
      <c r="A58" t="s">
        <v>289</v>
      </c>
      <c r="B58" t="s">
        <v>290</v>
      </c>
      <c r="C58" s="48">
        <f>2*9999^-0.152</f>
        <v>0.49321536463829735</v>
      </c>
      <c r="D58" s="2">
        <f>C58*9999</f>
        <v>4931.6604310183347</v>
      </c>
    </row>
    <row r="59" spans="1:4" x14ac:dyDescent="0.25">
      <c r="A59" t="s">
        <v>284</v>
      </c>
      <c r="D59" s="9">
        <f>+D54</f>
        <v>4932.0786744686775</v>
      </c>
    </row>
    <row r="60" spans="1:4" x14ac:dyDescent="0.25">
      <c r="A60" t="s">
        <v>291</v>
      </c>
      <c r="D60" s="44">
        <f>D59-D58</f>
        <v>0.41824345034274302</v>
      </c>
    </row>
    <row r="62" spans="1:4" x14ac:dyDescent="0.25">
      <c r="A62" s="6" t="s">
        <v>303</v>
      </c>
      <c r="B62" s="6"/>
      <c r="C62" s="6" t="s">
        <v>304</v>
      </c>
      <c r="D62" s="18">
        <f>D60*1500</f>
        <v>627.36517551411453</v>
      </c>
    </row>
    <row r="64" spans="1:4" x14ac:dyDescent="0.25">
      <c r="A64" t="s">
        <v>294</v>
      </c>
      <c r="D64" s="9">
        <f>D56+D62</f>
        <v>1048.9131441027703</v>
      </c>
    </row>
    <row r="66" spans="1:9" x14ac:dyDescent="0.25">
      <c r="A66" t="s">
        <v>305</v>
      </c>
    </row>
    <row r="67" spans="1:9" x14ac:dyDescent="0.25">
      <c r="A67" s="8" t="s">
        <v>306</v>
      </c>
    </row>
    <row r="69" spans="1:9" x14ac:dyDescent="0.25">
      <c r="A69" t="s">
        <v>307</v>
      </c>
      <c r="B69" t="s">
        <v>308</v>
      </c>
      <c r="C69" s="1" t="s">
        <v>309</v>
      </c>
      <c r="D69" t="s">
        <v>310</v>
      </c>
      <c r="E69" s="1" t="s">
        <v>311</v>
      </c>
      <c r="F69" t="s">
        <v>312</v>
      </c>
    </row>
    <row r="70" spans="1:9" ht="15.75" thickBot="1" x14ac:dyDescent="0.3">
      <c r="B70" s="2">
        <f>2*2500</f>
        <v>5000</v>
      </c>
      <c r="C70" s="1" t="s">
        <v>309</v>
      </c>
      <c r="D70" s="9">
        <f>+D64</f>
        <v>1048.9131441027703</v>
      </c>
      <c r="E70" s="1" t="s">
        <v>311</v>
      </c>
      <c r="F70" s="2">
        <v>1000</v>
      </c>
      <c r="G70" s="1" t="s">
        <v>4</v>
      </c>
      <c r="H70" s="40">
        <f>(B70-D70)*F70</f>
        <v>3951086.8558972296</v>
      </c>
      <c r="I70" s="55" t="s">
        <v>180</v>
      </c>
    </row>
    <row r="71" spans="1:9" ht="15.75" thickTop="1" x14ac:dyDescent="0.25">
      <c r="B71" t="s">
        <v>313</v>
      </c>
    </row>
    <row r="73" spans="1:9" x14ac:dyDescent="0.25">
      <c r="A73" t="s">
        <v>314</v>
      </c>
      <c r="B73" t="s">
        <v>308</v>
      </c>
      <c r="C73" s="1" t="s">
        <v>309</v>
      </c>
      <c r="D73" t="s">
        <v>310</v>
      </c>
      <c r="E73" s="1" t="s">
        <v>311</v>
      </c>
      <c r="F73" t="s">
        <v>312</v>
      </c>
    </row>
    <row r="74" spans="1:9" ht="15.75" thickBot="1" x14ac:dyDescent="0.3">
      <c r="B74" s="2">
        <f>2*2500</f>
        <v>5000</v>
      </c>
      <c r="C74" s="1" t="s">
        <v>309</v>
      </c>
      <c r="D74" s="9">
        <f>+D64</f>
        <v>1048.9131441027703</v>
      </c>
      <c r="E74" s="1" t="s">
        <v>311</v>
      </c>
      <c r="F74" s="2">
        <v>750</v>
      </c>
      <c r="G74" s="1" t="s">
        <v>4</v>
      </c>
      <c r="H74" s="40">
        <f>(B74-D74)*F74</f>
        <v>2963315.1419229223</v>
      </c>
      <c r="I74" s="55" t="s">
        <v>180</v>
      </c>
    </row>
    <row r="75" spans="1:9" ht="15.75" thickTop="1" x14ac:dyDescent="0.25">
      <c r="B75" t="s">
        <v>313</v>
      </c>
    </row>
    <row r="77" spans="1:9" x14ac:dyDescent="0.25">
      <c r="A77" s="8" t="s">
        <v>315</v>
      </c>
    </row>
    <row r="79" spans="1:9" x14ac:dyDescent="0.25">
      <c r="A79" t="s">
        <v>307</v>
      </c>
      <c r="B79" t="s">
        <v>310</v>
      </c>
      <c r="C79" s="1" t="s">
        <v>309</v>
      </c>
      <c r="D79" t="s">
        <v>316</v>
      </c>
      <c r="E79" s="1" t="s">
        <v>311</v>
      </c>
      <c r="F79" t="s">
        <v>317</v>
      </c>
    </row>
    <row r="80" spans="1:9" ht="15.75" thickBot="1" x14ac:dyDescent="0.3">
      <c r="B80" s="2">
        <f>+D70</f>
        <v>1048.9131441027703</v>
      </c>
      <c r="C80" s="1" t="s">
        <v>309</v>
      </c>
      <c r="D80" s="2">
        <f>2500/2</f>
        <v>1250</v>
      </c>
      <c r="E80" s="1" t="s">
        <v>311</v>
      </c>
      <c r="F80" s="2">
        <v>1000</v>
      </c>
      <c r="G80" s="1" t="s">
        <v>4</v>
      </c>
      <c r="H80" s="40">
        <f>(D80-B80)*F80</f>
        <v>201086.85589722972</v>
      </c>
      <c r="I80" s="55" t="s">
        <v>179</v>
      </c>
    </row>
    <row r="81" spans="1:9" ht="15.75" thickTop="1" x14ac:dyDescent="0.25">
      <c r="D81" t="s">
        <v>318</v>
      </c>
    </row>
    <row r="83" spans="1:9" x14ac:dyDescent="0.25">
      <c r="A83" t="s">
        <v>314</v>
      </c>
      <c r="B83" t="s">
        <v>310</v>
      </c>
      <c r="C83" s="1" t="s">
        <v>309</v>
      </c>
      <c r="D83" t="s">
        <v>316</v>
      </c>
      <c r="E83" s="1" t="s">
        <v>311</v>
      </c>
      <c r="F83" t="s">
        <v>317</v>
      </c>
    </row>
    <row r="84" spans="1:9" ht="15.75" thickBot="1" x14ac:dyDescent="0.3">
      <c r="B84" s="2">
        <f>+D74</f>
        <v>1048.9131441027703</v>
      </c>
      <c r="C84" s="1" t="s">
        <v>309</v>
      </c>
      <c r="D84" s="9">
        <v>1250</v>
      </c>
      <c r="E84" s="1" t="s">
        <v>311</v>
      </c>
      <c r="F84" s="2">
        <v>750</v>
      </c>
      <c r="G84" s="1" t="s">
        <v>4</v>
      </c>
      <c r="H84" s="40">
        <f>(D84-B84)*F84</f>
        <v>150815.14192292228</v>
      </c>
      <c r="I84" s="55" t="s">
        <v>179</v>
      </c>
    </row>
    <row r="85" spans="1:9" ht="15.75" thickTop="1" x14ac:dyDescent="0.25">
      <c r="D85" t="s">
        <v>318</v>
      </c>
    </row>
  </sheetData>
  <mergeCells count="2">
    <mergeCell ref="B11:D11"/>
    <mergeCell ref="B12:E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B21" sqref="B21"/>
    </sheetView>
  </sheetViews>
  <sheetFormatPr defaultRowHeight="15" x14ac:dyDescent="0.25"/>
  <cols>
    <col min="1" max="1" width="7" customWidth="1"/>
    <col min="2" max="2" width="37.42578125" bestFit="1" customWidth="1"/>
    <col min="3" max="3" width="21.42578125" bestFit="1" customWidth="1"/>
    <col min="4" max="4" width="10.5703125" bestFit="1" customWidth="1"/>
  </cols>
  <sheetData>
    <row r="2" spans="1:4" x14ac:dyDescent="0.25">
      <c r="A2" s="8" t="s">
        <v>41</v>
      </c>
    </row>
    <row r="4" spans="1:4" x14ac:dyDescent="0.25">
      <c r="A4" t="s">
        <v>42</v>
      </c>
      <c r="B4" t="s">
        <v>84</v>
      </c>
      <c r="C4" t="s">
        <v>43</v>
      </c>
      <c r="D4" s="2">
        <f>20000/1000</f>
        <v>20</v>
      </c>
    </row>
    <row r="5" spans="1:4" x14ac:dyDescent="0.25">
      <c r="B5" t="s">
        <v>85</v>
      </c>
      <c r="C5" t="s">
        <v>86</v>
      </c>
      <c r="D5" s="2">
        <f>20*1200</f>
        <v>24000</v>
      </c>
    </row>
    <row r="6" spans="1:4" x14ac:dyDescent="0.25">
      <c r="B6" t="s">
        <v>44</v>
      </c>
      <c r="D6" s="2">
        <v>23000</v>
      </c>
    </row>
    <row r="7" spans="1:4" ht="15.75" thickBot="1" x14ac:dyDescent="0.3">
      <c r="B7" s="10" t="s">
        <v>87</v>
      </c>
      <c r="C7" s="10"/>
      <c r="D7" s="14">
        <f>D5-D6</f>
        <v>1000</v>
      </c>
    </row>
    <row r="8" spans="1:4" ht="15.75" thickTop="1" x14ac:dyDescent="0.25"/>
    <row r="9" spans="1:4" x14ac:dyDescent="0.25">
      <c r="B9" t="s">
        <v>88</v>
      </c>
    </row>
    <row r="11" spans="1:4" x14ac:dyDescent="0.25">
      <c r="A11" t="s">
        <v>45</v>
      </c>
      <c r="B11" t="s">
        <v>84</v>
      </c>
      <c r="C11" t="s">
        <v>89</v>
      </c>
      <c r="D11" s="2">
        <f>(20000-10000)/1000</f>
        <v>10</v>
      </c>
    </row>
    <row r="12" spans="1:4" x14ac:dyDescent="0.25">
      <c r="B12" t="s">
        <v>90</v>
      </c>
      <c r="C12" t="s">
        <v>91</v>
      </c>
      <c r="D12" s="2">
        <f>10*1200</f>
        <v>12000</v>
      </c>
    </row>
    <row r="13" spans="1:4" x14ac:dyDescent="0.25">
      <c r="B13" t="s">
        <v>92</v>
      </c>
      <c r="D13" s="2">
        <v>10000</v>
      </c>
    </row>
    <row r="14" spans="1:4" x14ac:dyDescent="0.25">
      <c r="B14" t="s">
        <v>93</v>
      </c>
      <c r="D14" s="2">
        <f>SUM(D12:D13)</f>
        <v>22000</v>
      </c>
    </row>
    <row r="15" spans="1:4" x14ac:dyDescent="0.25">
      <c r="B15" t="s">
        <v>44</v>
      </c>
      <c r="D15" s="2">
        <v>23000</v>
      </c>
    </row>
    <row r="16" spans="1:4" ht="15.75" thickBot="1" x14ac:dyDescent="0.3">
      <c r="B16" s="10" t="s">
        <v>94</v>
      </c>
      <c r="C16" s="10"/>
      <c r="D16" s="14">
        <f>+D15-D14</f>
        <v>1000</v>
      </c>
    </row>
    <row r="17" spans="2:2" ht="15.75" thickTop="1" x14ac:dyDescent="0.25"/>
    <row r="18" spans="2:2" x14ac:dyDescent="0.25">
      <c r="B18" t="s">
        <v>95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B20" sqref="B20"/>
    </sheetView>
  </sheetViews>
  <sheetFormatPr defaultRowHeight="15" x14ac:dyDescent="0.25"/>
  <cols>
    <col min="1" max="1" width="20.28515625" customWidth="1"/>
    <col min="2" max="2" width="44.42578125" bestFit="1" customWidth="1"/>
    <col min="3" max="3" width="16.28515625" customWidth="1"/>
    <col min="4" max="4" width="15.85546875" customWidth="1"/>
    <col min="5" max="5" width="13.28515625" bestFit="1" customWidth="1"/>
  </cols>
  <sheetData>
    <row r="2" spans="1:5" x14ac:dyDescent="0.25">
      <c r="A2" s="8" t="s">
        <v>46</v>
      </c>
      <c r="C2" s="6" t="s">
        <v>96</v>
      </c>
    </row>
    <row r="4" spans="1:5" x14ac:dyDescent="0.25">
      <c r="C4" s="21" t="s">
        <v>0</v>
      </c>
      <c r="D4" s="21"/>
      <c r="E4" s="21" t="s">
        <v>47</v>
      </c>
    </row>
    <row r="5" spans="1:5" x14ac:dyDescent="0.25">
      <c r="A5" t="s">
        <v>97</v>
      </c>
      <c r="C5" s="2">
        <v>23750</v>
      </c>
      <c r="E5" s="2">
        <v>23750</v>
      </c>
    </row>
    <row r="6" spans="1:5" x14ac:dyDescent="0.25">
      <c r="A6" t="s">
        <v>48</v>
      </c>
      <c r="B6" t="s">
        <v>49</v>
      </c>
      <c r="C6" s="2">
        <f>100000*60</f>
        <v>6000000</v>
      </c>
      <c r="D6" t="s">
        <v>56</v>
      </c>
      <c r="E6" s="2">
        <f>105000*60</f>
        <v>6300000</v>
      </c>
    </row>
    <row r="7" spans="1:5" x14ac:dyDescent="0.25">
      <c r="A7" t="s">
        <v>98</v>
      </c>
      <c r="B7" t="s">
        <v>50</v>
      </c>
      <c r="C7" s="2">
        <f>37000*150</f>
        <v>5550000</v>
      </c>
      <c r="D7" t="s">
        <v>57</v>
      </c>
      <c r="E7" s="2">
        <f>34500*150</f>
        <v>5175000</v>
      </c>
    </row>
    <row r="8" spans="1:5" x14ac:dyDescent="0.25">
      <c r="A8" t="s">
        <v>51</v>
      </c>
      <c r="B8" t="s">
        <v>99</v>
      </c>
      <c r="C8" s="2">
        <f>1440000/20*23.75</f>
        <v>1710000</v>
      </c>
      <c r="E8" s="2">
        <v>1440000</v>
      </c>
    </row>
    <row r="9" spans="1:5" x14ac:dyDescent="0.25">
      <c r="A9" t="s">
        <v>82</v>
      </c>
      <c r="B9" t="s">
        <v>52</v>
      </c>
      <c r="C9" s="2">
        <f>(200000*70%/20000*23750)+(200000*30%)</f>
        <v>226250</v>
      </c>
      <c r="E9" s="2">
        <v>200000</v>
      </c>
    </row>
    <row r="10" spans="1:5" x14ac:dyDescent="0.25">
      <c r="A10" t="s">
        <v>83</v>
      </c>
      <c r="B10" t="s">
        <v>53</v>
      </c>
      <c r="C10" s="2">
        <f>(80000*35%/20000*23750)+(80000*65%)</f>
        <v>85250</v>
      </c>
      <c r="E10" s="2">
        <v>80000</v>
      </c>
    </row>
    <row r="11" spans="1:5" x14ac:dyDescent="0.25">
      <c r="A11" t="s">
        <v>54</v>
      </c>
      <c r="B11" t="s">
        <v>55</v>
      </c>
      <c r="C11" s="2">
        <f>(1200000*30%/20000*23750)+(1200000*70%)</f>
        <v>1267500</v>
      </c>
      <c r="E11" s="2">
        <v>1200000</v>
      </c>
    </row>
    <row r="12" spans="1:5" x14ac:dyDescent="0.25">
      <c r="A12" t="s">
        <v>100</v>
      </c>
      <c r="C12" s="2">
        <v>80000</v>
      </c>
      <c r="E12" s="2">
        <v>80000</v>
      </c>
    </row>
    <row r="13" spans="1:5" x14ac:dyDescent="0.25">
      <c r="E13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B21" sqref="B21"/>
    </sheetView>
  </sheetViews>
  <sheetFormatPr defaultRowHeight="15" x14ac:dyDescent="0.25"/>
  <cols>
    <col min="1" max="1" width="27.7109375" bestFit="1" customWidth="1"/>
    <col min="2" max="2" width="12.140625" bestFit="1" customWidth="1"/>
    <col min="3" max="3" width="11.5703125" bestFit="1" customWidth="1"/>
  </cols>
  <sheetData>
    <row r="2" spans="1:3" x14ac:dyDescent="0.25">
      <c r="A2" s="8" t="s">
        <v>58</v>
      </c>
    </row>
    <row r="4" spans="1:3" x14ac:dyDescent="0.25">
      <c r="A4" t="s">
        <v>80</v>
      </c>
      <c r="C4" s="2">
        <v>672000</v>
      </c>
    </row>
    <row r="5" spans="1:3" x14ac:dyDescent="0.25">
      <c r="A5" t="s">
        <v>101</v>
      </c>
      <c r="B5" t="s">
        <v>102</v>
      </c>
      <c r="C5" s="9">
        <f>C4*0.75</f>
        <v>504000</v>
      </c>
    </row>
    <row r="6" spans="1:3" x14ac:dyDescent="0.25">
      <c r="A6" t="s">
        <v>103</v>
      </c>
      <c r="B6" t="s">
        <v>59</v>
      </c>
      <c r="C6" s="2">
        <f>+C5*0.4</f>
        <v>201600</v>
      </c>
    </row>
    <row r="7" spans="1:3" x14ac:dyDescent="0.25">
      <c r="A7" t="s">
        <v>104</v>
      </c>
      <c r="B7" t="s">
        <v>60</v>
      </c>
      <c r="C7" s="9">
        <f>C6/350</f>
        <v>576</v>
      </c>
    </row>
    <row r="8" spans="1:3" x14ac:dyDescent="0.25">
      <c r="A8" t="s">
        <v>105</v>
      </c>
      <c r="B8" t="s">
        <v>106</v>
      </c>
      <c r="C8" s="2">
        <f>+C7*1.04</f>
        <v>599.04</v>
      </c>
    </row>
    <row r="9" spans="1:3" ht="15.75" thickBot="1" x14ac:dyDescent="0.3">
      <c r="A9" s="10" t="s">
        <v>108</v>
      </c>
      <c r="B9" s="10" t="s">
        <v>107</v>
      </c>
      <c r="C9" s="22">
        <f>C8*340</f>
        <v>203673.59999999998</v>
      </c>
    </row>
    <row r="10" spans="1:3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B22" sqref="B22"/>
    </sheetView>
  </sheetViews>
  <sheetFormatPr defaultRowHeight="15" x14ac:dyDescent="0.25"/>
  <cols>
    <col min="1" max="1" width="36.28515625" customWidth="1"/>
    <col min="2" max="2" width="42.85546875" bestFit="1" customWidth="1"/>
    <col min="3" max="3" width="14.28515625" bestFit="1" customWidth="1"/>
    <col min="4" max="4" width="15" bestFit="1" customWidth="1"/>
  </cols>
  <sheetData>
    <row r="2" spans="1:4" x14ac:dyDescent="0.25">
      <c r="A2" s="8" t="s">
        <v>109</v>
      </c>
    </row>
    <row r="4" spans="1:4" x14ac:dyDescent="0.25">
      <c r="A4" s="20" t="s">
        <v>110</v>
      </c>
    </row>
    <row r="6" spans="1:4" x14ac:dyDescent="0.25">
      <c r="A6" s="20" t="s">
        <v>111</v>
      </c>
      <c r="B6" s="8" t="s">
        <v>62</v>
      </c>
    </row>
    <row r="7" spans="1:4" x14ac:dyDescent="0.25">
      <c r="A7" s="20" t="s">
        <v>112</v>
      </c>
    </row>
    <row r="8" spans="1:4" x14ac:dyDescent="0.25">
      <c r="A8" t="s">
        <v>61</v>
      </c>
      <c r="B8" t="s">
        <v>115</v>
      </c>
      <c r="C8" s="2">
        <f>(2090400*40%*25%)*(40*1.04)</f>
        <v>8696064</v>
      </c>
    </row>
    <row r="9" spans="1:4" x14ac:dyDescent="0.25">
      <c r="A9" t="s">
        <v>113</v>
      </c>
      <c r="B9" t="s">
        <v>116</v>
      </c>
      <c r="C9" s="2">
        <f>(2090400*20%*25%)*(40*75%*1.04)</f>
        <v>3261024.0000000005</v>
      </c>
    </row>
    <row r="10" spans="1:4" x14ac:dyDescent="0.25">
      <c r="A10" t="s">
        <v>114</v>
      </c>
      <c r="B10" t="s">
        <v>117</v>
      </c>
      <c r="C10" s="2">
        <f>(2090400*40%*25%)*(40*50%*1.04)</f>
        <v>4348032</v>
      </c>
      <c r="D10" s="9">
        <f>SUM(C8:C10)</f>
        <v>16305120</v>
      </c>
    </row>
    <row r="12" spans="1:4" x14ac:dyDescent="0.25">
      <c r="A12" s="20" t="s">
        <v>118</v>
      </c>
    </row>
    <row r="13" spans="1:4" x14ac:dyDescent="0.25">
      <c r="A13" t="s">
        <v>61</v>
      </c>
      <c r="B13" t="s">
        <v>119</v>
      </c>
      <c r="C13" s="2">
        <f>(2090400*40%*75%/2)*(40*2*75%*1.04)</f>
        <v>19566144</v>
      </c>
    </row>
    <row r="14" spans="1:4" x14ac:dyDescent="0.25">
      <c r="A14" t="s">
        <v>113</v>
      </c>
      <c r="B14" t="s">
        <v>120</v>
      </c>
      <c r="C14" s="2">
        <f>(2090400*20%*75%/2)*(40*2*75%*75%*1.04)</f>
        <v>7337304.0000000009</v>
      </c>
    </row>
    <row r="15" spans="1:4" x14ac:dyDescent="0.25">
      <c r="A15" t="s">
        <v>114</v>
      </c>
      <c r="B15" t="s">
        <v>121</v>
      </c>
      <c r="C15" s="2">
        <f>(2090400*40%*75%/2)*(40*2*50%*75%*1.04)</f>
        <v>9783072</v>
      </c>
      <c r="D15" s="9">
        <f>SUM(C13:C15)</f>
        <v>36686520</v>
      </c>
    </row>
    <row r="16" spans="1:4" x14ac:dyDescent="0.25">
      <c r="D16" s="2"/>
    </row>
    <row r="17" spans="1:4" x14ac:dyDescent="0.25">
      <c r="A17" t="s">
        <v>63</v>
      </c>
    </row>
    <row r="18" spans="1:4" x14ac:dyDescent="0.25">
      <c r="A18" s="11" t="s">
        <v>122</v>
      </c>
      <c r="B18" t="s">
        <v>125</v>
      </c>
      <c r="C18" s="2">
        <f>8*54000</f>
        <v>432000</v>
      </c>
    </row>
    <row r="19" spans="1:4" x14ac:dyDescent="0.25">
      <c r="A19" s="11" t="s">
        <v>123</v>
      </c>
      <c r="B19" t="s">
        <v>126</v>
      </c>
      <c r="C19" s="2">
        <f>12*36000</f>
        <v>432000</v>
      </c>
    </row>
    <row r="20" spans="1:4" x14ac:dyDescent="0.25">
      <c r="A20" s="11" t="s">
        <v>124</v>
      </c>
      <c r="B20" t="s">
        <v>127</v>
      </c>
      <c r="C20" s="2">
        <f>10*18000</f>
        <v>180000</v>
      </c>
      <c r="D20" s="9">
        <f>SUM(C18:C20)</f>
        <v>1044000</v>
      </c>
    </row>
    <row r="21" spans="1:4" x14ac:dyDescent="0.25">
      <c r="A21" s="23" t="s">
        <v>128</v>
      </c>
      <c r="B21" s="8"/>
      <c r="C21" s="8"/>
      <c r="D21" s="12">
        <f>SUM(D8:D20)</f>
        <v>54035640</v>
      </c>
    </row>
    <row r="23" spans="1:4" x14ac:dyDescent="0.25">
      <c r="A23" s="11" t="s">
        <v>129</v>
      </c>
      <c r="B23" t="s">
        <v>64</v>
      </c>
      <c r="D23" s="2">
        <f>-37600000*1.04</f>
        <v>-39104000</v>
      </c>
    </row>
    <row r="24" spans="1:4" x14ac:dyDescent="0.25">
      <c r="A24" s="13" t="s">
        <v>130</v>
      </c>
      <c r="B24" s="10"/>
      <c r="C24" s="10"/>
      <c r="D24" s="15">
        <f>SUM(D21:D23)</f>
        <v>14931640</v>
      </c>
    </row>
    <row r="26" spans="1:4" x14ac:dyDescent="0.25">
      <c r="A26" t="s">
        <v>131</v>
      </c>
      <c r="B26" t="s">
        <v>132</v>
      </c>
      <c r="D26" s="2">
        <f>+(240*365)*(100*1.04)</f>
        <v>9110400</v>
      </c>
    </row>
    <row r="27" spans="1:4" x14ac:dyDescent="0.25">
      <c r="A27" t="s">
        <v>133</v>
      </c>
      <c r="B27" t="s">
        <v>65</v>
      </c>
      <c r="D27" s="2">
        <f>-7950000*1.04</f>
        <v>-8268000</v>
      </c>
    </row>
    <row r="28" spans="1:4" x14ac:dyDescent="0.25">
      <c r="A28" s="13" t="s">
        <v>134</v>
      </c>
      <c r="D28" s="15">
        <f>SUM(D26:D27)</f>
        <v>842400</v>
      </c>
    </row>
    <row r="29" spans="1:4" ht="15.75" thickBot="1" x14ac:dyDescent="0.3">
      <c r="A29" s="10" t="s">
        <v>135</v>
      </c>
      <c r="B29" s="10"/>
      <c r="C29" s="10"/>
      <c r="D29" s="14">
        <f>D24+D28</f>
        <v>15774040</v>
      </c>
    </row>
    <row r="30" spans="1:4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workbookViewId="0">
      <selection activeCell="E21" sqref="E21"/>
    </sheetView>
  </sheetViews>
  <sheetFormatPr defaultRowHeight="15" x14ac:dyDescent="0.25"/>
  <cols>
    <col min="2" max="2" width="20" bestFit="1" customWidth="1"/>
    <col min="3" max="8" width="11.5703125" bestFit="1" customWidth="1"/>
  </cols>
  <sheetData>
    <row r="2" spans="1:16" x14ac:dyDescent="0.25">
      <c r="A2" s="8" t="s">
        <v>136</v>
      </c>
    </row>
    <row r="4" spans="1:16" x14ac:dyDescent="0.25">
      <c r="O4" t="s">
        <v>139</v>
      </c>
      <c r="P4" t="s">
        <v>139</v>
      </c>
    </row>
    <row r="5" spans="1:16" x14ac:dyDescent="0.25">
      <c r="C5" s="24">
        <v>44835</v>
      </c>
      <c r="D5" s="24">
        <v>44866</v>
      </c>
      <c r="E5" s="24">
        <v>44896</v>
      </c>
      <c r="F5" s="24">
        <v>44927</v>
      </c>
      <c r="G5" s="24">
        <v>44958</v>
      </c>
      <c r="H5" s="24">
        <v>44986</v>
      </c>
      <c r="I5" s="24">
        <v>45017</v>
      </c>
      <c r="J5" s="24">
        <v>45047</v>
      </c>
      <c r="K5" s="24">
        <v>45078</v>
      </c>
      <c r="L5" s="24">
        <v>45108</v>
      </c>
      <c r="M5" s="24">
        <v>45139</v>
      </c>
      <c r="N5" s="24">
        <v>45170</v>
      </c>
      <c r="O5" s="24">
        <v>45200</v>
      </c>
      <c r="P5" s="24">
        <v>45231</v>
      </c>
    </row>
    <row r="6" spans="1:16" x14ac:dyDescent="0.25">
      <c r="B6" t="s">
        <v>137</v>
      </c>
      <c r="C6" s="2">
        <v>100</v>
      </c>
      <c r="D6" s="2">
        <v>102</v>
      </c>
      <c r="E6" s="2">
        <f>+D6*1.05</f>
        <v>107.10000000000001</v>
      </c>
      <c r="F6" s="2">
        <f t="shared" ref="F6:N6" si="0">+E6*1.05</f>
        <v>112.45500000000001</v>
      </c>
      <c r="G6" s="2">
        <f t="shared" si="0"/>
        <v>118.07775000000002</v>
      </c>
      <c r="H6" s="2">
        <f t="shared" si="0"/>
        <v>123.98163750000003</v>
      </c>
      <c r="I6" s="2">
        <f t="shared" si="0"/>
        <v>130.18071937500005</v>
      </c>
      <c r="J6" s="2">
        <f t="shared" si="0"/>
        <v>136.68975534375005</v>
      </c>
      <c r="K6" s="2">
        <f t="shared" si="0"/>
        <v>143.52424311093756</v>
      </c>
      <c r="L6" s="2">
        <f t="shared" si="0"/>
        <v>150.70045526648445</v>
      </c>
      <c r="M6" s="2">
        <f t="shared" si="0"/>
        <v>158.23547802980869</v>
      </c>
      <c r="N6" s="2">
        <f t="shared" si="0"/>
        <v>166.14725193129914</v>
      </c>
    </row>
    <row r="7" spans="1:16" x14ac:dyDescent="0.25">
      <c r="B7" t="s">
        <v>138</v>
      </c>
      <c r="C7" s="2">
        <v>95</v>
      </c>
    </row>
    <row r="8" spans="1:16" x14ac:dyDescent="0.25">
      <c r="B8" t="s">
        <v>71</v>
      </c>
      <c r="C8" t="s">
        <v>140</v>
      </c>
      <c r="D8" s="2">
        <f>+C7*1.025</f>
        <v>97.374999999999986</v>
      </c>
      <c r="E8" s="2">
        <f>D8*1.025</f>
        <v>99.809374999999974</v>
      </c>
      <c r="F8" s="2">
        <f t="shared" ref="F8:O8" si="1">E8*1.025</f>
        <v>102.30460937499997</v>
      </c>
      <c r="G8" s="2">
        <f t="shared" si="1"/>
        <v>104.86222460937496</v>
      </c>
      <c r="H8" s="2">
        <f t="shared" si="1"/>
        <v>107.48378022460933</v>
      </c>
      <c r="I8" s="2">
        <f t="shared" si="1"/>
        <v>110.17087473022455</v>
      </c>
      <c r="J8" s="2">
        <f t="shared" si="1"/>
        <v>112.92514659848015</v>
      </c>
      <c r="K8" s="2">
        <f t="shared" si="1"/>
        <v>115.74827526344215</v>
      </c>
      <c r="L8" s="2">
        <f t="shared" si="1"/>
        <v>118.64198214502819</v>
      </c>
      <c r="M8" s="2">
        <f t="shared" si="1"/>
        <v>121.60803169865389</v>
      </c>
      <c r="N8" s="2">
        <f t="shared" si="1"/>
        <v>124.64823249112023</v>
      </c>
      <c r="O8" s="2">
        <f t="shared" si="1"/>
        <v>127.76443830339822</v>
      </c>
    </row>
    <row r="9" spans="1:16" x14ac:dyDescent="0.25">
      <c r="B9" t="s">
        <v>138</v>
      </c>
      <c r="D9" s="2">
        <v>101</v>
      </c>
    </row>
    <row r="10" spans="1:16" x14ac:dyDescent="0.25">
      <c r="B10" t="s">
        <v>71</v>
      </c>
      <c r="C10" t="s">
        <v>140</v>
      </c>
      <c r="D10" t="s">
        <v>140</v>
      </c>
      <c r="E10">
        <f>+D9*1.03</f>
        <v>104.03</v>
      </c>
      <c r="F10" s="2">
        <f>+E10*1.03</f>
        <v>107.15090000000001</v>
      </c>
      <c r="G10" s="2">
        <f t="shared" ref="G10:P10" si="2">+F10*1.03</f>
        <v>110.36542700000001</v>
      </c>
      <c r="H10" s="2">
        <f t="shared" si="2"/>
        <v>113.67638981000002</v>
      </c>
      <c r="I10" s="2">
        <f t="shared" si="2"/>
        <v>117.08668150430002</v>
      </c>
      <c r="J10" s="2">
        <f t="shared" si="2"/>
        <v>120.59928194942903</v>
      </c>
      <c r="K10" s="2">
        <f t="shared" si="2"/>
        <v>124.21726040791191</v>
      </c>
      <c r="L10" s="2">
        <f t="shared" si="2"/>
        <v>127.94377822014927</v>
      </c>
      <c r="M10" s="2">
        <f t="shared" si="2"/>
        <v>131.78209156675376</v>
      </c>
      <c r="N10" s="2">
        <f t="shared" si="2"/>
        <v>135.73555431375638</v>
      </c>
      <c r="O10" s="2">
        <f t="shared" si="2"/>
        <v>139.80762094316907</v>
      </c>
      <c r="P10" s="2">
        <f t="shared" si="2"/>
        <v>144.00184957146413</v>
      </c>
    </row>
    <row r="13" spans="1:16" x14ac:dyDescent="0.25">
      <c r="C13" s="64" t="s">
        <v>141</v>
      </c>
      <c r="D13" s="64"/>
      <c r="E13" s="64"/>
      <c r="F13" s="64"/>
      <c r="G13" s="16" t="s">
        <v>144</v>
      </c>
      <c r="H13" t="s">
        <v>145</v>
      </c>
    </row>
    <row r="14" spans="1:16" x14ac:dyDescent="0.25">
      <c r="C14" t="s">
        <v>67</v>
      </c>
      <c r="D14" t="s">
        <v>68</v>
      </c>
      <c r="E14" t="s">
        <v>69</v>
      </c>
      <c r="F14" t="s">
        <v>70</v>
      </c>
      <c r="G14" t="s">
        <v>67</v>
      </c>
    </row>
    <row r="15" spans="1:16" x14ac:dyDescent="0.25">
      <c r="B15" t="s">
        <v>142</v>
      </c>
      <c r="C15" s="2">
        <v>125750</v>
      </c>
      <c r="D15" s="2">
        <v>132038</v>
      </c>
      <c r="E15" s="2">
        <v>138640</v>
      </c>
      <c r="F15" s="2">
        <v>145572</v>
      </c>
      <c r="H15" s="9">
        <f>SUM(C15:F15)</f>
        <v>542000</v>
      </c>
    </row>
    <row r="16" spans="1:16" x14ac:dyDescent="0.25">
      <c r="B16" t="s">
        <v>47</v>
      </c>
      <c r="C16" s="2">
        <v>123450</v>
      </c>
    </row>
    <row r="17" spans="2:8" x14ac:dyDescent="0.25">
      <c r="B17" t="s">
        <v>72</v>
      </c>
      <c r="C17" s="9">
        <f>C15-C16</f>
        <v>2300</v>
      </c>
    </row>
    <row r="18" spans="2:8" x14ac:dyDescent="0.25">
      <c r="B18" s="6" t="s">
        <v>143</v>
      </c>
      <c r="C18" s="6"/>
      <c r="D18" s="18">
        <f>+C16*1.03</f>
        <v>127153.5</v>
      </c>
      <c r="E18" s="18">
        <f>+D18*1.03</f>
        <v>130968.10500000001</v>
      </c>
      <c r="F18" s="18">
        <f t="shared" ref="F18:G18" si="3">+E18*1.03</f>
        <v>134897.14815000002</v>
      </c>
      <c r="G18" s="18">
        <f t="shared" si="3"/>
        <v>138944.06259450002</v>
      </c>
      <c r="H18" s="17">
        <f>SUM(D18:G18)</f>
        <v>531962.81574450003</v>
      </c>
    </row>
  </sheetData>
  <mergeCells count="1">
    <mergeCell ref="C13:F13"/>
  </mergeCells>
  <phoneticPr fontId="6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D21" sqref="D21"/>
    </sheetView>
  </sheetViews>
  <sheetFormatPr defaultRowHeight="15" x14ac:dyDescent="0.25"/>
  <cols>
    <col min="1" max="1" width="16.85546875" customWidth="1"/>
    <col min="2" max="2" width="15.85546875" bestFit="1" customWidth="1"/>
    <col min="3" max="3" width="10.140625" bestFit="1" customWidth="1"/>
    <col min="4" max="4" width="10.5703125" bestFit="1" customWidth="1"/>
    <col min="5" max="5" width="10.7109375" bestFit="1" customWidth="1"/>
    <col min="6" max="6" width="11.85546875" bestFit="1" customWidth="1"/>
  </cols>
  <sheetData>
    <row r="2" spans="1:7" x14ac:dyDescent="0.25">
      <c r="A2" s="8" t="s">
        <v>366</v>
      </c>
    </row>
    <row r="4" spans="1:7" x14ac:dyDescent="0.25">
      <c r="B4" s="8" t="s">
        <v>321</v>
      </c>
      <c r="D4" s="8" t="s">
        <v>367</v>
      </c>
      <c r="E4" s="8" t="s">
        <v>301</v>
      </c>
      <c r="F4" s="8" t="s">
        <v>302</v>
      </c>
    </row>
    <row r="5" spans="1:7" x14ac:dyDescent="0.25">
      <c r="A5" t="s">
        <v>368</v>
      </c>
      <c r="B5" t="s">
        <v>369</v>
      </c>
      <c r="C5" t="s">
        <v>370</v>
      </c>
      <c r="D5" s="2">
        <f>80*45</f>
        <v>3600</v>
      </c>
      <c r="E5" s="2">
        <v>3450</v>
      </c>
      <c r="F5" s="9">
        <f>D5-E5</f>
        <v>150</v>
      </c>
      <c r="G5" t="s">
        <v>180</v>
      </c>
    </row>
    <row r="6" spans="1:7" x14ac:dyDescent="0.25">
      <c r="A6" t="s">
        <v>371</v>
      </c>
      <c r="B6" t="s">
        <v>372</v>
      </c>
      <c r="C6" t="s">
        <v>373</v>
      </c>
      <c r="D6" s="2">
        <f>40*100</f>
        <v>4000</v>
      </c>
      <c r="E6" s="2">
        <v>4400</v>
      </c>
      <c r="F6" s="9">
        <f>E6-D6</f>
        <v>400</v>
      </c>
      <c r="G6" t="s">
        <v>179</v>
      </c>
    </row>
    <row r="7" spans="1:7" x14ac:dyDescent="0.25">
      <c r="A7" t="s">
        <v>374</v>
      </c>
      <c r="B7" t="s">
        <v>375</v>
      </c>
      <c r="C7" t="s">
        <v>376</v>
      </c>
      <c r="D7" s="2">
        <f>25*36</f>
        <v>900</v>
      </c>
      <c r="E7" s="2">
        <v>960</v>
      </c>
      <c r="F7" s="9">
        <f>E7-D7</f>
        <v>60</v>
      </c>
      <c r="G7" t="s">
        <v>179</v>
      </c>
    </row>
    <row r="8" spans="1:7" x14ac:dyDescent="0.25">
      <c r="A8" t="s">
        <v>377</v>
      </c>
      <c r="B8" t="s">
        <v>378</v>
      </c>
      <c r="C8" t="s">
        <v>379</v>
      </c>
      <c r="D8" s="2">
        <f>1000*2</f>
        <v>2000</v>
      </c>
      <c r="E8" s="2">
        <v>1750</v>
      </c>
      <c r="F8" s="9">
        <f>D8-E8</f>
        <v>250</v>
      </c>
      <c r="G8" t="s">
        <v>180</v>
      </c>
    </row>
    <row r="9" spans="1:7" x14ac:dyDescent="0.25">
      <c r="A9" t="s">
        <v>380</v>
      </c>
      <c r="C9" t="s">
        <v>381</v>
      </c>
      <c r="D9" s="2">
        <f>24000/12</f>
        <v>2000</v>
      </c>
      <c r="E9" s="2">
        <v>1900</v>
      </c>
      <c r="F9" s="9">
        <f>D9-E9</f>
        <v>100</v>
      </c>
      <c r="G9" t="s">
        <v>180</v>
      </c>
    </row>
    <row r="10" spans="1:7" x14ac:dyDescent="0.25">
      <c r="A10" t="s">
        <v>382</v>
      </c>
      <c r="C10" t="s">
        <v>383</v>
      </c>
      <c r="D10" s="2">
        <f>30000/12</f>
        <v>2500</v>
      </c>
      <c r="E10" s="2">
        <v>2700</v>
      </c>
      <c r="F10" s="9">
        <f>E10-D10</f>
        <v>200</v>
      </c>
      <c r="G10" t="s">
        <v>179</v>
      </c>
    </row>
    <row r="11" spans="1:7" ht="15.75" thickBot="1" x14ac:dyDescent="0.3">
      <c r="D11" s="14">
        <f>SUM(D5:D10)</f>
        <v>15000</v>
      </c>
      <c r="E11" s="14">
        <f>SUM(E5:E10)</f>
        <v>15160</v>
      </c>
      <c r="F11" s="14">
        <f>E11-D11</f>
        <v>160</v>
      </c>
      <c r="G11" s="10" t="s">
        <v>179</v>
      </c>
    </row>
    <row r="12" spans="1:7" ht="15.75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C21" sqref="C21"/>
    </sheetView>
  </sheetViews>
  <sheetFormatPr defaultRowHeight="15" x14ac:dyDescent="0.25"/>
  <cols>
    <col min="1" max="1" width="16.7109375" bestFit="1" customWidth="1"/>
    <col min="2" max="2" width="35.28515625" customWidth="1"/>
    <col min="3" max="3" width="11.5703125" bestFit="1" customWidth="1"/>
    <col min="4" max="4" width="14" bestFit="1" customWidth="1"/>
    <col min="8" max="8" width="24" customWidth="1"/>
    <col min="9" max="9" width="23.85546875" bestFit="1" customWidth="1"/>
    <col min="10" max="10" width="14.28515625" bestFit="1" customWidth="1"/>
    <col min="12" max="12" width="11.5703125" bestFit="1" customWidth="1"/>
  </cols>
  <sheetData>
    <row r="2" spans="1:12" x14ac:dyDescent="0.25">
      <c r="A2" s="8" t="s">
        <v>73</v>
      </c>
    </row>
    <row r="4" spans="1:12" x14ac:dyDescent="0.25">
      <c r="A4" t="s">
        <v>66</v>
      </c>
      <c r="B4" t="s">
        <v>146</v>
      </c>
      <c r="D4" s="2">
        <f>1200*1050</f>
        <v>1260000</v>
      </c>
      <c r="H4" t="s">
        <v>75</v>
      </c>
    </row>
    <row r="5" spans="1:12" x14ac:dyDescent="0.25">
      <c r="H5" t="s">
        <v>148</v>
      </c>
      <c r="I5" t="s">
        <v>149</v>
      </c>
      <c r="J5" s="2">
        <f>200*500</f>
        <v>100000</v>
      </c>
    </row>
    <row r="6" spans="1:12" x14ac:dyDescent="0.25">
      <c r="A6" t="s">
        <v>147</v>
      </c>
      <c r="H6" t="s">
        <v>150</v>
      </c>
      <c r="I6" t="s">
        <v>151</v>
      </c>
      <c r="J6" s="2">
        <f>+J5*0.9</f>
        <v>90000</v>
      </c>
    </row>
    <row r="7" spans="1:12" x14ac:dyDescent="0.25">
      <c r="A7" t="s">
        <v>81</v>
      </c>
      <c r="B7" t="s">
        <v>74</v>
      </c>
      <c r="C7" s="9">
        <f>+J8</f>
        <v>514000</v>
      </c>
      <c r="H7" t="s">
        <v>152</v>
      </c>
      <c r="I7" t="s">
        <v>153</v>
      </c>
      <c r="J7" s="9">
        <f>800*500*0.9*0.9</f>
        <v>324000</v>
      </c>
    </row>
    <row r="8" spans="1:12" ht="15.75" thickBot="1" x14ac:dyDescent="0.3">
      <c r="A8" t="s">
        <v>76</v>
      </c>
      <c r="B8" t="s">
        <v>77</v>
      </c>
      <c r="C8" s="9">
        <f>+J18</f>
        <v>315334.87111865758</v>
      </c>
      <c r="J8" s="19">
        <f>SUM(J5:J7)</f>
        <v>514000</v>
      </c>
    </row>
    <row r="9" spans="1:12" ht="15.75" thickTop="1" x14ac:dyDescent="0.25">
      <c r="A9" t="s">
        <v>160</v>
      </c>
      <c r="B9" t="s">
        <v>161</v>
      </c>
      <c r="C9" s="2">
        <f>315334.87/5*2</f>
        <v>126133.948</v>
      </c>
    </row>
    <row r="10" spans="1:12" x14ac:dyDescent="0.25">
      <c r="A10" t="s">
        <v>162</v>
      </c>
      <c r="B10" t="s">
        <v>163</v>
      </c>
      <c r="C10" s="2">
        <f>15000*12</f>
        <v>180000</v>
      </c>
      <c r="D10" s="9">
        <f>-SUM(C7:C10)</f>
        <v>-1135468.8191186576</v>
      </c>
    </row>
    <row r="11" spans="1:12" ht="15.75" thickBot="1" x14ac:dyDescent="0.3">
      <c r="A11" t="s">
        <v>164</v>
      </c>
      <c r="D11" s="19">
        <f>SUM(D4:D10)</f>
        <v>124531.18088134238</v>
      </c>
      <c r="H11" t="s">
        <v>78</v>
      </c>
    </row>
    <row r="12" spans="1:12" ht="15.75" thickTop="1" x14ac:dyDescent="0.25">
      <c r="H12" t="s">
        <v>154</v>
      </c>
      <c r="I12" t="s">
        <v>155</v>
      </c>
      <c r="J12" s="2">
        <f>2500*700^-0.3219</f>
        <v>303.46104539380235</v>
      </c>
      <c r="K12" s="2">
        <v>700</v>
      </c>
      <c r="L12" s="9">
        <f>J12*K12</f>
        <v>212422.73177566164</v>
      </c>
    </row>
    <row r="13" spans="1:12" x14ac:dyDescent="0.25">
      <c r="A13" t="s">
        <v>165</v>
      </c>
      <c r="D13" s="2">
        <v>130000</v>
      </c>
      <c r="H13" t="s">
        <v>156</v>
      </c>
      <c r="I13" t="s">
        <v>157</v>
      </c>
      <c r="J13" s="2">
        <f>2500*699^-0.3219</f>
        <v>303.60072603286932</v>
      </c>
      <c r="K13" s="2">
        <v>699</v>
      </c>
      <c r="L13" s="9">
        <f>J13*K13</f>
        <v>212216.90749697565</v>
      </c>
    </row>
    <row r="14" spans="1:12" x14ac:dyDescent="0.25">
      <c r="H14" t="s">
        <v>158</v>
      </c>
      <c r="L14" s="9">
        <f>L12-L13</f>
        <v>205.82427868599189</v>
      </c>
    </row>
    <row r="15" spans="1:12" x14ac:dyDescent="0.25">
      <c r="A15" s="6" t="s">
        <v>166</v>
      </c>
    </row>
    <row r="16" spans="1:12" x14ac:dyDescent="0.25">
      <c r="H16" t="s">
        <v>154</v>
      </c>
      <c r="J16" s="9">
        <f>+L12</f>
        <v>212422.73177566164</v>
      </c>
    </row>
    <row r="17" spans="8:10" x14ac:dyDescent="0.25">
      <c r="H17" t="s">
        <v>159</v>
      </c>
      <c r="I17" t="s">
        <v>79</v>
      </c>
      <c r="J17" s="2">
        <f>+L14*500</f>
        <v>102912.13934299594</v>
      </c>
    </row>
    <row r="18" spans="8:10" ht="15.75" thickBot="1" x14ac:dyDescent="0.3">
      <c r="J18" s="19">
        <f>SUM(J16:J17)</f>
        <v>315334.87111865758</v>
      </c>
    </row>
    <row r="19" spans="8:10" ht="15.75" thickTop="1" x14ac:dyDescent="0.2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05111C6CE9A4D9A32EDD3CE4225B6" ma:contentTypeVersion="2" ma:contentTypeDescription="Create a new document." ma:contentTypeScope="" ma:versionID="65a55d3207c9bb9e6d7f68b455286c2a">
  <xsd:schema xmlns:xsd="http://www.w3.org/2001/XMLSchema" xmlns:xs="http://www.w3.org/2001/XMLSchema" xmlns:p="http://schemas.microsoft.com/office/2006/metadata/properties" xmlns:ns2="894abf72-65ba-408b-9569-bc5346983487" targetNamespace="http://schemas.microsoft.com/office/2006/metadata/properties" ma:root="true" ma:fieldsID="82607859529cf660e07889a740458c09" ns2:_="">
    <xsd:import namespace="894abf72-65ba-408b-9569-bc53469834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abf72-65ba-408b-9569-bc5346983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6F5CB-7AC5-4C46-B064-FC08F0F3EA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473B6D-22A8-4EF0-8DCB-2A7E9E510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E16060-80FE-4076-9DBE-E8649ADF0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4abf72-65ba-408b-9569-bc5346983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E1</vt:lpstr>
      <vt:lpstr>E2</vt:lpstr>
      <vt:lpstr>E3</vt:lpstr>
      <vt:lpstr>E4</vt:lpstr>
      <vt:lpstr>E5</vt:lpstr>
      <vt:lpstr>E7</vt:lpstr>
      <vt:lpstr>E8</vt:lpstr>
      <vt:lpstr>E9</vt:lpstr>
      <vt:lpstr>E10</vt:lpstr>
      <vt:lpstr>E11</vt:lpstr>
      <vt:lpstr>E15</vt:lpstr>
      <vt:lpstr>E20</vt:lpstr>
      <vt:lpstr>Q1</vt:lpstr>
      <vt:lpstr>Q2</vt:lpstr>
      <vt:lpstr>Q3</vt:lpstr>
      <vt:lpstr>Q4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0x01010087705111C6CE9A4D9A32EDD3CE4225B6</vt:lpwstr>
  </property>
</Properties>
</file>