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0490" windowHeight="7545" firstSheet="2" activeTab="9"/>
  </bookViews>
  <sheets>
    <sheet name="QS 09" sheetId="1" r:id="rId1"/>
    <sheet name="QS 09 - Note 01" sheetId="2" r:id="rId2"/>
    <sheet name="QS 09 - Note 02" sheetId="3" r:id="rId3"/>
    <sheet name="QS 09 - Note 03" sheetId="4" r:id="rId4"/>
    <sheet name="QS 08" sheetId="5" r:id="rId5"/>
    <sheet name="QS 08 - Note 01" sheetId="6" r:id="rId6"/>
    <sheet name="පෙර වැඩ " sheetId="7" r:id="rId7"/>
    <sheet name="QS 08 - Note 02" sheetId="8" r:id="rId8"/>
    <sheet name="QS 07" sheetId="9" r:id="rId9"/>
    <sheet name="QS 05" sheetId="10" r:id="rId10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10" l="1"/>
  <c r="I10" i="10"/>
  <c r="C25" i="10"/>
  <c r="D25" i="10"/>
  <c r="E28" i="10"/>
  <c r="D28" i="10"/>
  <c r="C28" i="10"/>
  <c r="D24" i="10"/>
  <c r="C24" i="10"/>
  <c r="E24" i="10"/>
  <c r="E25" i="10"/>
  <c r="E23" i="10"/>
  <c r="E22" i="10"/>
  <c r="D19" i="10"/>
  <c r="C14" i="10"/>
  <c r="C13" i="10"/>
  <c r="D12" i="10"/>
  <c r="D29" i="9"/>
  <c r="D28" i="9"/>
  <c r="D27" i="9"/>
  <c r="G21" i="9"/>
  <c r="F15" i="9"/>
  <c r="G18" i="9" s="1"/>
  <c r="D10" i="9"/>
  <c r="F9" i="9"/>
  <c r="F7" i="9"/>
  <c r="F6" i="9"/>
  <c r="G10" i="9" s="1"/>
  <c r="G19" i="9" s="1"/>
  <c r="G22" i="9" s="1"/>
  <c r="G8" i="5"/>
  <c r="D23" i="5"/>
  <c r="D22" i="5"/>
  <c r="D18" i="5"/>
  <c r="I9" i="5"/>
  <c r="I8" i="5"/>
  <c r="I7" i="5"/>
  <c r="D16" i="5"/>
  <c r="D15" i="5"/>
  <c r="D7" i="5"/>
  <c r="D11" i="8"/>
  <c r="C10" i="8"/>
  <c r="D10" i="8" s="1"/>
  <c r="C22" i="5"/>
  <c r="D5" i="8"/>
  <c r="D6" i="5"/>
  <c r="D9" i="5" s="1"/>
  <c r="C28" i="6"/>
  <c r="C26" i="6"/>
  <c r="C25" i="6"/>
  <c r="D24" i="6"/>
  <c r="C24" i="6"/>
  <c r="C23" i="6"/>
  <c r="F26" i="7"/>
  <c r="F21" i="7"/>
  <c r="D18" i="6"/>
  <c r="D12" i="7"/>
  <c r="D11" i="7"/>
  <c r="D10" i="7"/>
  <c r="D6" i="7"/>
  <c r="D5" i="7"/>
  <c r="C5" i="7"/>
  <c r="D35" i="1"/>
  <c r="C28" i="1"/>
  <c r="C27" i="1"/>
  <c r="C26" i="1"/>
  <c r="C25" i="1"/>
  <c r="C24" i="1"/>
  <c r="C23" i="1"/>
  <c r="D28" i="1" s="1"/>
  <c r="C17" i="1"/>
  <c r="D18" i="1" s="1"/>
  <c r="D11" i="1"/>
  <c r="D20" i="1" s="1"/>
  <c r="D9" i="1"/>
  <c r="C32" i="1"/>
  <c r="D34" i="1" s="1"/>
  <c r="D5" i="4"/>
  <c r="C4" i="4"/>
  <c r="D8" i="1"/>
  <c r="D8" i="3"/>
  <c r="D7" i="1"/>
  <c r="D16" i="2"/>
  <c r="D11" i="2"/>
  <c r="D10" i="2"/>
  <c r="D9" i="2"/>
  <c r="D4" i="2"/>
  <c r="D8" i="2"/>
  <c r="D3" i="2"/>
  <c r="C12" i="10" l="1"/>
  <c r="C16" i="10" s="1"/>
  <c r="D14" i="7"/>
</calcChain>
</file>

<file path=xl/sharedStrings.xml><?xml version="1.0" encoding="utf-8"?>
<sst xmlns="http://schemas.openxmlformats.org/spreadsheetml/2006/main" count="186" uniqueCount="168">
  <si>
    <t xml:space="preserve">සේවා නියුක්ති ආදායම </t>
  </si>
  <si>
    <t xml:space="preserve">ආදර්ශ පිළිතුරු </t>
  </si>
  <si>
    <t xml:space="preserve">Question  - 09 කවිජ ගමගේ මහතා </t>
  </si>
  <si>
    <t>සටහන 1</t>
  </si>
  <si>
    <t xml:space="preserve">ව්‍යාපාර ආදයම </t>
  </si>
  <si>
    <t xml:space="preserve">ආයෝජන ආදායම </t>
  </si>
  <si>
    <t xml:space="preserve">වෙනත් ආදායම් </t>
  </si>
  <si>
    <t xml:space="preserve">මුළු තක්සේරු කල ආදායම </t>
  </si>
  <si>
    <t>සටහන 2</t>
  </si>
  <si>
    <t>සටහන 3</t>
  </si>
  <si>
    <t xml:space="preserve">වගන්ති 52 - සුදුසුකම් ලබන ගෙවීම් සහ සහන </t>
  </si>
  <si>
    <t xml:space="preserve">* පුද්ගල ආදායම් පත්‍ර සහනය </t>
  </si>
  <si>
    <t>* 25% කුලී මත බදු දීමනාව (600,000 x 25%)</t>
  </si>
  <si>
    <t xml:space="preserve">*විදේශ විනිමය ආදායම් මත 15,000,000 දක්වා සහනය </t>
  </si>
  <si>
    <t xml:space="preserve">දල ආදායම් බද්ද ගණනය </t>
  </si>
  <si>
    <t>පළමු       600,000 x  4%</t>
  </si>
  <si>
    <t>ඊලග       600,000 x  8%</t>
  </si>
  <si>
    <t>ඊලග       600,000 x  12%</t>
  </si>
  <si>
    <t>ඊලග       600,000 x  16%</t>
  </si>
  <si>
    <t>ඊලග       600,000 x  20%</t>
  </si>
  <si>
    <t>ඉතිරිය       5,445,000 x  24%</t>
  </si>
  <si>
    <t xml:space="preserve">බදු බැර </t>
  </si>
  <si>
    <t xml:space="preserve">ඉතිරි ගෙවිය යුතු ආදායම් බද්ද </t>
  </si>
  <si>
    <t xml:space="preserve">2019/20 තක්සේරු වර්ෂය සදහා සේවා නියුක්ත ආදායම් ගණනය </t>
  </si>
  <si>
    <t xml:space="preserve">දල වැටුප් </t>
  </si>
  <si>
    <t xml:space="preserve">පුද්ගලික රක්ෂණ වාරික </t>
  </si>
  <si>
    <t xml:space="preserve">වාහන ප්‍රතිලාභය </t>
  </si>
  <si>
    <t xml:space="preserve">           වාහනය </t>
  </si>
  <si>
    <t xml:space="preserve">           රියදුරු </t>
  </si>
  <si>
    <t xml:space="preserve">නිවාස ප්‍රතිලාභය </t>
  </si>
  <si>
    <t xml:space="preserve">විදේශ ගමන් වියදම් </t>
  </si>
  <si>
    <t xml:space="preserve">දුරකථන බිල් ප්‍රතිපුර්ණය </t>
  </si>
  <si>
    <t xml:space="preserve">EPF සහ  ETF </t>
  </si>
  <si>
    <t xml:space="preserve">වෛද්‍ය බිල්පත් ප්‍රතිපුර්ණය </t>
  </si>
  <si>
    <t xml:space="preserve">නිදහස් </t>
  </si>
  <si>
    <t xml:space="preserve"> </t>
  </si>
  <si>
    <t xml:space="preserve">සේවා  නියුක්තිය මත තක්සේරු කල ආදායම </t>
  </si>
  <si>
    <t xml:space="preserve">ව්‍යාපාර ආදායම් </t>
  </si>
  <si>
    <t xml:space="preserve">උපදේශන සේවා සැපයීම </t>
  </si>
  <si>
    <t xml:space="preserve">            සිංගප්පූරු සමාගමකට </t>
  </si>
  <si>
    <t xml:space="preserve">            මැලේසියා සමාගමකට </t>
  </si>
  <si>
    <t xml:space="preserve">ව්‍යාපාර මත තක්සේරු කල ආදායම </t>
  </si>
  <si>
    <t xml:space="preserve">ආයෝජන ආදායම් ගණනය </t>
  </si>
  <si>
    <t>දල කුලිය  (50,000 x 12)</t>
  </si>
  <si>
    <t xml:space="preserve">(-) වරිපනම් ගෙවීම් </t>
  </si>
  <si>
    <t xml:space="preserve">ස්ථාවර තැන්පතු පොළී </t>
  </si>
  <si>
    <t xml:space="preserve">ශුද්ධ ලාභාංශ </t>
  </si>
  <si>
    <t xml:space="preserve">අවසාන බද්දකි </t>
  </si>
  <si>
    <t xml:space="preserve">ලැයිස්තුගත සමාගමක කොටස් විකුණුම් ලාභය </t>
  </si>
  <si>
    <t xml:space="preserve">ආයෝජනය මත තක්සේරු කල හැකි ආදායම </t>
  </si>
  <si>
    <t xml:space="preserve">VGN පුද්ගලික සමාගම </t>
  </si>
  <si>
    <t xml:space="preserve">ආයෝජන ආදායම් </t>
  </si>
  <si>
    <t xml:space="preserve">2019/20 තක්සේරු වර්ෂය සදහා ආදායම් බදු ගණනය </t>
  </si>
  <si>
    <t xml:space="preserve">මුළු තක්සේරු කල හැකි ආදායම </t>
  </si>
  <si>
    <t xml:space="preserve">( - ) වගන්ති 52 - සුදුසුකම් ලබන ගෙවීම් </t>
  </si>
  <si>
    <t xml:space="preserve">පරිත්‍යාග රජයට </t>
  </si>
  <si>
    <t>පරිත්‍යාග</t>
  </si>
  <si>
    <t xml:space="preserve">(-) බදු බැර </t>
  </si>
  <si>
    <t xml:space="preserve">වාරික ගෙවීම් </t>
  </si>
  <si>
    <t xml:space="preserve">පොලි මත රදවා ගැනීම් බදු </t>
  </si>
  <si>
    <t xml:space="preserve">ඉතිරි ගෙවිය යුතු බද්ද </t>
  </si>
  <si>
    <t xml:space="preserve">තක්සේරු කල හැකි ව්‍යාපාර ආදායම් ගණනය </t>
  </si>
  <si>
    <t>(+)</t>
  </si>
  <si>
    <t>(-)</t>
  </si>
  <si>
    <t xml:space="preserve">බදු පෙර ශුද්ධ ලාභය </t>
  </si>
  <si>
    <t>(-) වෙනත් ආදායම් (ආයෝජනය)</t>
  </si>
  <si>
    <t xml:space="preserve">               ශුද්ධ ලාභාංශ </t>
  </si>
  <si>
    <t xml:space="preserve">               ශුද්ධ පොලිය </t>
  </si>
  <si>
    <t xml:space="preserve">               ඉඩම් විකුණුම් ලාභය </t>
  </si>
  <si>
    <t>බදු සදහා ජෙනරේටර් විකුණුම්, අලාභය (තුලනය කිරීමේ දීමනාව)</t>
  </si>
  <si>
    <t>පර්යේෂණ හා සංවර්ධන වියදම් (ඉඩදේ)</t>
  </si>
  <si>
    <t>අමතර පර්:සංවර්ධන වියදම් (වගන්තිය 15)</t>
  </si>
  <si>
    <t>දඩගාස්තු (වගන්තිය 10 - ඉඩ නොදේ)</t>
  </si>
  <si>
    <t xml:space="preserve">ප්‍රාග්ධන දීමනාව </t>
  </si>
  <si>
    <t>ගිණුම්කරණ කුලය (ඉඩ නොදේ - වගන්තිය 16)</t>
  </si>
  <si>
    <t>ප්‍රාග්ධන දීමනාව (ඉඩ නොදේ - වගන්තිය 16)</t>
  </si>
  <si>
    <t>විනෝදාංශ වියදම් (ඉඩනොදේ  - වගන්තිය 10)</t>
  </si>
  <si>
    <t>පරිත්‍යාග (ඉඩනොදේ  - වගන්තිය 11)</t>
  </si>
  <si>
    <t>පරිත්‍යාග මුදල් (ඉඩනොදේ  - වගන්තිය 11)</t>
  </si>
  <si>
    <t>ප්‍රචාරණ ගාස්තු (ඉඩනොදේ  - වගන්තිය 11)</t>
  </si>
  <si>
    <t xml:space="preserve">ඉඩ නොදෙන මුල්‍ය පිරිවැය </t>
  </si>
  <si>
    <t xml:space="preserve">ඉදිරියට ගෙන ආ බදු අලාභය </t>
  </si>
  <si>
    <t xml:space="preserve">ව්‍යාපාර ආදායම් වලින් තක්සේරු කල හැකි අදායම් </t>
  </si>
  <si>
    <t xml:space="preserve">(-) බදු ලියාහල අගය </t>
  </si>
  <si>
    <t xml:space="preserve">පිරිවැය </t>
  </si>
  <si>
    <t xml:space="preserve">(-) සමුචිත ප්‍රාග්ධනය </t>
  </si>
  <si>
    <t xml:space="preserve">තුලනය කිරීමේ දීමනාව </t>
  </si>
  <si>
    <t xml:space="preserve">ප්‍රාග්ධන දීමනාව ගණනය </t>
  </si>
  <si>
    <t xml:space="preserve">විද්‍යාගාර උපකරණ </t>
  </si>
  <si>
    <t xml:space="preserve">ජෙනරේටරය </t>
  </si>
  <si>
    <t xml:space="preserve">මිනි බෙන්ස් රථය </t>
  </si>
  <si>
    <t xml:space="preserve">මෝටර් රථය </t>
  </si>
  <si>
    <t>ඉඩදෙන පිරිවැය =</t>
  </si>
  <si>
    <t xml:space="preserve">මුල්‍ය පිරිවැය </t>
  </si>
  <si>
    <t xml:space="preserve">ණය ප්‍රාග්ධනය </t>
  </si>
  <si>
    <t>x</t>
  </si>
  <si>
    <t xml:space="preserve">දැනටමත් අඩුකර ඇති පිරිවැය </t>
  </si>
  <si>
    <t xml:space="preserve">ඉඩ නොදෙන පිරිවැය </t>
  </si>
  <si>
    <t xml:space="preserve">අවසන බද්දකි </t>
  </si>
  <si>
    <t>දල පොලිය (570/95) x 100</t>
  </si>
  <si>
    <t xml:space="preserve">ප්‍රාග්ධන ලාභය </t>
  </si>
  <si>
    <t xml:space="preserve">ප්‍රතිෂ්ඨාව </t>
  </si>
  <si>
    <t xml:space="preserve">ආයෝජන වලින් තක්සේරු කල ආදායම් </t>
  </si>
  <si>
    <t xml:space="preserve">නිමැවුම් බද්ද </t>
  </si>
  <si>
    <t xml:space="preserve">පරිගණක විකුණුම් </t>
  </si>
  <si>
    <t xml:space="preserve">මෘදුකාංග </t>
  </si>
  <si>
    <t xml:space="preserve">(-) නිමැවුම් බදු </t>
  </si>
  <si>
    <t xml:space="preserve">පරිගණක එකලස් </t>
  </si>
  <si>
    <t xml:space="preserve">මෘදුකාංග  අමුද්‍රව්‍ය </t>
  </si>
  <si>
    <t xml:space="preserve">ගොඩනැගිලි කුලී මත </t>
  </si>
  <si>
    <t xml:space="preserve">ඉඩ නොදේ </t>
  </si>
  <si>
    <t xml:space="preserve">මෝටර් රථ මිලදී ගැනීම් මත </t>
  </si>
  <si>
    <t>පෙර කලච්චේදයේ ඉදිරියට ගෙවීම් මත</t>
  </si>
  <si>
    <t xml:space="preserve">ඉතිරි ගෙවිය යුතු VAT </t>
  </si>
  <si>
    <t xml:space="preserve">සිරිසර හවුල් ව්‍යාපාරය </t>
  </si>
  <si>
    <t xml:space="preserve">2019/20 තක්සේරු වර්ෂය සදහා ආදායම් ගණනය </t>
  </si>
  <si>
    <t xml:space="preserve">අමල්ගේ බිරිදගේ වැටුප  - ඉඩදේ </t>
  </si>
  <si>
    <t xml:space="preserve">පියල්ට ගෙවූ වැටුප්  - ඉඩනොදේ </t>
  </si>
  <si>
    <t xml:space="preserve">ක්ෂය </t>
  </si>
  <si>
    <t xml:space="preserve">ණය පොලී අමල් </t>
  </si>
  <si>
    <t xml:space="preserve">පරිත්‍යාග </t>
  </si>
  <si>
    <t xml:space="preserve">හවුල් ව්‍යාපාර ව්‍යාපාර ආදායම </t>
  </si>
  <si>
    <t xml:space="preserve">හවුල් ව්‍යාපාර අදායම් </t>
  </si>
  <si>
    <t xml:space="preserve">(+) යෝජනා ආදායම් </t>
  </si>
  <si>
    <t>අමල්</t>
  </si>
  <si>
    <t xml:space="preserve">පියල් </t>
  </si>
  <si>
    <t xml:space="preserve">එකතුව </t>
  </si>
  <si>
    <t xml:space="preserve">වැටුප් </t>
  </si>
  <si>
    <t xml:space="preserve">ණය පොලිය </t>
  </si>
  <si>
    <t xml:space="preserve">ඉතිරි ලාභය  </t>
  </si>
  <si>
    <t xml:space="preserve">හවුල්කරුගේ හවුල් ව්‍යාපාර ආදායම් කොටස </t>
  </si>
  <si>
    <t xml:space="preserve">එක් එක් හවුල්කරුට හිමි WHT අගය </t>
  </si>
  <si>
    <t xml:space="preserve">* සේවා නියුක්ති  නිදහස </t>
  </si>
  <si>
    <t xml:space="preserve">කුලී මත රදවාගත් බදු (600,000 x 10%) 
</t>
  </si>
  <si>
    <t xml:space="preserve">ස්වයන් තක්සේරු ගෙවීම් </t>
  </si>
  <si>
    <t>(250,000*12)</t>
  </si>
  <si>
    <t>(10,000*12)</t>
  </si>
  <si>
    <t>45000 *12</t>
  </si>
  <si>
    <t>(30,000*12)</t>
  </si>
  <si>
    <t>(250,000 *50%)</t>
  </si>
  <si>
    <t>(100,000 *50%)</t>
  </si>
  <si>
    <t>Not allow</t>
  </si>
  <si>
    <t>2019/20 තක්සේරු වර්ෂය සදහා ආදායම් පත්‍ර ගණනය (රු)</t>
  </si>
  <si>
    <t>බදු මත ආදායම (Taxable income)</t>
  </si>
  <si>
    <t xml:space="preserve">2020 සැප්තැම්බර් 30 දිනට හෝ එදිනට පෙර </t>
  </si>
  <si>
    <t>(Rs,000)</t>
  </si>
  <si>
    <t xml:space="preserve">ජෙනරේටර් විකුණුම් ගිණුම්කරණ ලාභය W1 </t>
  </si>
  <si>
    <t>විකුණුම් ප්‍රතිශතය (Cash consideration)</t>
  </si>
  <si>
    <t>ඉඩ නොදෙන මුල්‍ය පිරිවැය  - W2</t>
  </si>
  <si>
    <t>(හිමිකම, ප්‍රතයාගන සංචිත හැර x 3)</t>
  </si>
  <si>
    <t>(4200*3)</t>
  </si>
  <si>
    <t xml:space="preserve">ප්‍රචාරණ වියදම් </t>
  </si>
  <si>
    <t xml:space="preserve">(-) 2017/09/30 සාධාරණ අගය  </t>
  </si>
  <si>
    <t>Rs.000</t>
  </si>
  <si>
    <t xml:space="preserve">අනුමත පුණ්‍ය ආයතනයකට (1/5 x  බදු වන  ආදායම් හෝ 500,000 lower අගය </t>
  </si>
  <si>
    <t xml:space="preserve">දළ ආදායම් බද්ද </t>
  </si>
  <si>
    <t>W 3</t>
  </si>
  <si>
    <t>Working 3</t>
  </si>
  <si>
    <t>Capital gain</t>
  </si>
  <si>
    <t xml:space="preserve">බදු වන ආදායම </t>
  </si>
  <si>
    <t>Balance taxable income</t>
  </si>
  <si>
    <t xml:space="preserve">     දේශීය </t>
  </si>
  <si>
    <t xml:space="preserve">     විදේශීය </t>
  </si>
  <si>
    <t xml:space="preserve">*SVAT සැපයුම් </t>
  </si>
  <si>
    <t xml:space="preserve">(-) SVAT බැර වව්චර් පත් </t>
  </si>
  <si>
    <t>WHT</t>
  </si>
  <si>
    <t>b.</t>
  </si>
  <si>
    <t>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</si>
</sst>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6" formatCode="_(* #,##0_);_(* \(#,##0\);_(* &quot;-&quot;??_);_(@_)"/>
  </numFmts>
  <fonts count="19">
    <font>
      <sz val="11"/>
      <color theme="1"/>
      <name val="Calibri"/>
      <family val="2"/>
      <scheme val="minor"/>
    </font>
    <font>
      <sz val="11"/>
      <color theme="1"/>
      <name val="FMBindumathi"/>
    </font>
    <font>
      <sz val="12"/>
      <color theme="1"/>
      <name val="FMBindumathi"/>
    </font>
    <font>
      <sz val="16"/>
      <color theme="1"/>
      <name val="FMBindumathi"/>
    </font>
    <font>
      <sz val="18"/>
      <color theme="1"/>
      <name val="FMBindumathi"/>
    </font>
    <font>
      <sz val="18"/>
      <color theme="1"/>
      <name val="Cambria"/>
      <family val="1"/>
    </font>
    <font>
      <u/>
      <sz val="11"/>
      <color theme="1"/>
      <name val="Calibri"/>
      <family val="2"/>
      <scheme val="minor"/>
    </font>
    <font>
      <sz val="12"/>
      <color theme="1"/>
      <name val=" IWSujeeva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12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1" fillId="0" borderId="0" xfId="0" applyFont="1" applyAlignment="1">
      <alignment vertical="center"/>
    </xf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7" fillId="0" borderId="2" xfId="0" applyFont="1" applyBorder="1"/>
    <xf numFmtId="0" fontId="8" fillId="0" borderId="2" xfId="0" applyFont="1" applyBorder="1"/>
    <xf numFmtId="0" fontId="8" fillId="0" borderId="4" xfId="0" applyFont="1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6" fillId="0" borderId="2" xfId="0" applyFont="1" applyBorder="1"/>
    <xf numFmtId="0" fontId="0" fillId="0" borderId="8" xfId="0" applyBorder="1"/>
    <xf numFmtId="0" fontId="0" fillId="0" borderId="9" xfId="0" applyBorder="1"/>
    <xf numFmtId="0" fontId="10" fillId="0" borderId="0" xfId="0" applyFont="1" applyAlignment="1">
      <alignment horizontal="center"/>
    </xf>
    <xf numFmtId="0" fontId="8" fillId="0" borderId="1" xfId="0" applyFont="1" applyBorder="1"/>
    <xf numFmtId="0" fontId="8" fillId="0" borderId="6" xfId="0" applyFont="1" applyBorder="1"/>
    <xf numFmtId="0" fontId="9" fillId="0" borderId="2" xfId="0" applyFont="1" applyBorder="1"/>
    <xf numFmtId="0" fontId="2" fillId="0" borderId="1" xfId="0" applyFont="1" applyBorder="1"/>
    <xf numFmtId="0" fontId="7" fillId="0" borderId="1" xfId="0" applyFont="1" applyBorder="1"/>
    <xf numFmtId="0" fontId="9" fillId="0" borderId="2" xfId="0" applyFont="1" applyBorder="1" applyAlignment="1">
      <alignment wrapText="1"/>
    </xf>
    <xf numFmtId="0" fontId="8" fillId="0" borderId="2" xfId="0" applyFont="1" applyBorder="1" applyAlignment="1">
      <alignment wrapText="1"/>
    </xf>
    <xf numFmtId="3" fontId="0" fillId="0" borderId="5" xfId="0" applyNumberFormat="1" applyBorder="1" applyAlignment="1">
      <alignment horizontal="center"/>
    </xf>
    <xf numFmtId="0" fontId="0" fillId="0" borderId="2" xfId="0" applyBorder="1" applyAlignment="1">
      <alignment vertical="top" wrapText="1"/>
    </xf>
    <xf numFmtId="0" fontId="0" fillId="0" borderId="2" xfId="0" applyBorder="1" applyAlignment="1">
      <alignment vertical="top"/>
    </xf>
    <xf numFmtId="0" fontId="8" fillId="0" borderId="0" xfId="0" applyFont="1"/>
    <xf numFmtId="0" fontId="0" fillId="0" borderId="10" xfId="0" applyBorder="1"/>
    <xf numFmtId="0" fontId="8" fillId="0" borderId="11" xfId="0" applyFont="1" applyBorder="1"/>
    <xf numFmtId="0" fontId="8" fillId="0" borderId="11" xfId="0" applyFont="1" applyBorder="1" applyAlignment="1">
      <alignment wrapText="1"/>
    </xf>
    <xf numFmtId="164" fontId="0" fillId="0" borderId="3" xfId="1" applyFont="1" applyBorder="1"/>
    <xf numFmtId="0" fontId="0" fillId="0" borderId="13" xfId="0" applyBorder="1"/>
    <xf numFmtId="0" fontId="0" fillId="0" borderId="2" xfId="0" applyBorder="1" applyAlignment="1">
      <alignment wrapText="1"/>
    </xf>
    <xf numFmtId="164" fontId="0" fillId="0" borderId="0" xfId="1" applyFont="1"/>
    <xf numFmtId="0" fontId="6" fillId="0" borderId="0" xfId="0" applyFont="1"/>
    <xf numFmtId="164" fontId="0" fillId="0" borderId="9" xfId="1" applyFont="1" applyBorder="1" applyAlignment="1">
      <alignment horizontal="center"/>
    </xf>
    <xf numFmtId="164" fontId="0" fillId="0" borderId="14" xfId="0" applyNumberFormat="1" applyBorder="1"/>
    <xf numFmtId="0" fontId="6" fillId="0" borderId="0" xfId="0" applyFont="1" applyAlignment="1"/>
    <xf numFmtId="0" fontId="0" fillId="0" borderId="0" xfId="0" applyAlignment="1">
      <alignment vertical="top"/>
    </xf>
    <xf numFmtId="3" fontId="0" fillId="0" borderId="9" xfId="0" applyNumberFormat="1" applyBorder="1" applyAlignment="1">
      <alignment horizontal="center" vertical="top"/>
    </xf>
    <xf numFmtId="0" fontId="0" fillId="0" borderId="0" xfId="0" applyFill="1" applyBorder="1"/>
    <xf numFmtId="0" fontId="0" fillId="0" borderId="16" xfId="0" applyBorder="1" applyAlignment="1">
      <alignment horizontal="center"/>
    </xf>
    <xf numFmtId="0" fontId="0" fillId="0" borderId="12" xfId="0" applyBorder="1" applyAlignment="1">
      <alignment horizontal="center"/>
    </xf>
    <xf numFmtId="9" fontId="0" fillId="0" borderId="2" xfId="0" applyNumberForma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13" fillId="0" borderId="0" xfId="1" applyFont="1" applyAlignment="1">
      <alignment horizontal="center" vertical="center"/>
    </xf>
    <xf numFmtId="3" fontId="13" fillId="0" borderId="0" xfId="0" applyNumberFormat="1" applyFont="1" applyBorder="1" applyAlignment="1">
      <alignment horizontal="center" vertical="center"/>
    </xf>
    <xf numFmtId="3" fontId="0" fillId="0" borderId="0" xfId="0" applyNumberFormat="1" applyFont="1" applyBorder="1" applyAlignment="1">
      <alignment horizontal="center" vertical="center"/>
    </xf>
    <xf numFmtId="166" fontId="0" fillId="0" borderId="1" xfId="1" applyNumberFormat="1" applyFont="1" applyBorder="1"/>
    <xf numFmtId="166" fontId="0" fillId="0" borderId="2" xfId="1" applyNumberFormat="1" applyFont="1" applyBorder="1"/>
    <xf numFmtId="166" fontId="0" fillId="0" borderId="5" xfId="1" applyNumberFormat="1" applyFont="1" applyBorder="1"/>
    <xf numFmtId="166" fontId="8" fillId="0" borderId="4" xfId="1" applyNumberFormat="1" applyFont="1" applyBorder="1"/>
    <xf numFmtId="166" fontId="8" fillId="0" borderId="7" xfId="1" applyNumberFormat="1" applyFont="1" applyBorder="1"/>
    <xf numFmtId="166" fontId="8" fillId="0" borderId="4" xfId="0" applyNumberFormat="1" applyFont="1" applyBorder="1"/>
    <xf numFmtId="166" fontId="8" fillId="0" borderId="1" xfId="1" applyNumberFormat="1" applyFont="1" applyBorder="1"/>
    <xf numFmtId="166" fontId="8" fillId="0" borderId="2" xfId="1" applyNumberFormat="1" applyFont="1" applyBorder="1"/>
    <xf numFmtId="166" fontId="8" fillId="0" borderId="3" xfId="1" applyNumberFormat="1" applyFont="1" applyBorder="1"/>
    <xf numFmtId="166" fontId="8" fillId="0" borderId="5" xfId="1" applyNumberFormat="1" applyFont="1" applyBorder="1"/>
    <xf numFmtId="166" fontId="0" fillId="0" borderId="4" xfId="1" applyNumberFormat="1" applyFont="1" applyBorder="1"/>
    <xf numFmtId="166" fontId="0" fillId="0" borderId="2" xfId="1" applyNumberFormat="1" applyFont="1" applyBorder="1" applyAlignment="1">
      <alignment vertical="center"/>
    </xf>
    <xf numFmtId="166" fontId="8" fillId="0" borderId="17" xfId="1" applyNumberFormat="1" applyFont="1" applyBorder="1"/>
    <xf numFmtId="166" fontId="0" fillId="0" borderId="3" xfId="1" applyNumberFormat="1" applyFont="1" applyBorder="1"/>
    <xf numFmtId="166" fontId="0" fillId="0" borderId="13" xfId="1" applyNumberFormat="1" applyFont="1" applyBorder="1"/>
    <xf numFmtId="166" fontId="0" fillId="0" borderId="3" xfId="0" applyNumberFormat="1" applyBorder="1"/>
    <xf numFmtId="166" fontId="0" fillId="0" borderId="5" xfId="0" applyNumberFormat="1" applyBorder="1"/>
    <xf numFmtId="166" fontId="0" fillId="0" borderId="7" xfId="1" applyNumberFormat="1" applyFont="1" applyBorder="1"/>
    <xf numFmtId="166" fontId="0" fillId="0" borderId="0" xfId="1" applyNumberFormat="1" applyFont="1"/>
    <xf numFmtId="166" fontId="0" fillId="0" borderId="9" xfId="1" applyNumberFormat="1" applyFont="1" applyBorder="1"/>
    <xf numFmtId="0" fontId="16" fillId="0" borderId="0" xfId="0" applyFont="1"/>
    <xf numFmtId="164" fontId="0" fillId="0" borderId="18" xfId="1" applyFont="1" applyBorder="1"/>
    <xf numFmtId="166" fontId="0" fillId="0" borderId="14" xfId="1" applyNumberFormat="1" applyFont="1" applyBorder="1"/>
    <xf numFmtId="0" fontId="0" fillId="0" borderId="0" xfId="0" applyAlignment="1">
      <alignment horizontal="right"/>
    </xf>
    <xf numFmtId="9" fontId="0" fillId="0" borderId="0" xfId="2" applyFont="1"/>
    <xf numFmtId="166" fontId="0" fillId="0" borderId="2" xfId="1" applyNumberFormat="1" applyFont="1" applyFill="1" applyBorder="1"/>
    <xf numFmtId="166" fontId="0" fillId="0" borderId="9" xfId="1" applyNumberFormat="1" applyFont="1" applyBorder="1" applyAlignment="1">
      <alignment horizontal="center"/>
    </xf>
    <xf numFmtId="166" fontId="0" fillId="0" borderId="0" xfId="1" applyNumberFormat="1" applyFont="1" applyAlignment="1">
      <alignment horizontal="center"/>
    </xf>
    <xf numFmtId="164" fontId="0" fillId="0" borderId="0" xfId="1" applyNumberFormat="1" applyFont="1"/>
    <xf numFmtId="164" fontId="0" fillId="0" borderId="4" xfId="1" applyNumberFormat="1" applyFont="1" applyBorder="1"/>
    <xf numFmtId="164" fontId="0" fillId="0" borderId="3" xfId="1" applyNumberFormat="1" applyFont="1" applyBorder="1"/>
    <xf numFmtId="164" fontId="0" fillId="0" borderId="5" xfId="1" applyNumberFormat="1" applyFont="1" applyBorder="1" applyAlignment="1">
      <alignment vertical="center"/>
    </xf>
    <xf numFmtId="166" fontId="0" fillId="0" borderId="0" xfId="1" applyNumberFormat="1" applyFont="1" applyBorder="1"/>
    <xf numFmtId="166" fontId="0" fillId="0" borderId="19" xfId="1" applyNumberFormat="1" applyFont="1" applyBorder="1"/>
    <xf numFmtId="0" fontId="8" fillId="0" borderId="10" xfId="0" applyFont="1" applyBorder="1"/>
    <xf numFmtId="0" fontId="0" fillId="0" borderId="11" xfId="0" applyBorder="1"/>
    <xf numFmtId="0" fontId="9" fillId="0" borderId="11" xfId="0" applyFont="1" applyBorder="1"/>
    <xf numFmtId="164" fontId="8" fillId="0" borderId="6" xfId="1" applyNumberFormat="1" applyFont="1" applyBorder="1"/>
    <xf numFmtId="164" fontId="8" fillId="0" borderId="4" xfId="1" applyNumberFormat="1" applyFont="1" applyBorder="1"/>
    <xf numFmtId="164" fontId="8" fillId="0" borderId="17" xfId="1" applyNumberFormat="1" applyFont="1" applyBorder="1"/>
    <xf numFmtId="164" fontId="0" fillId="0" borderId="17" xfId="1" applyNumberFormat="1" applyFont="1" applyBorder="1"/>
    <xf numFmtId="164" fontId="0" fillId="0" borderId="7" xfId="1" applyNumberFormat="1" applyFont="1" applyBorder="1"/>
    <xf numFmtId="0" fontId="17" fillId="0" borderId="11" xfId="0" applyFont="1" applyBorder="1"/>
    <xf numFmtId="0" fontId="18" fillId="0" borderId="11" xfId="0" applyFont="1" applyBorder="1"/>
    <xf numFmtId="0" fontId="17" fillId="0" borderId="2" xfId="0" applyFont="1" applyBorder="1"/>
    <xf numFmtId="164" fontId="17" fillId="0" borderId="6" xfId="1" applyNumberFormat="1" applyFont="1" applyBorder="1"/>
    <xf numFmtId="166" fontId="8" fillId="0" borderId="19" xfId="1" applyNumberFormat="1" applyFont="1" applyBorder="1"/>
    <xf numFmtId="0" fontId="15" fillId="0" borderId="0" xfId="0" applyFont="1"/>
    <xf numFmtId="164" fontId="0" fillId="0" borderId="14" xfId="1" applyNumberFormat="1" applyFont="1" applyBorder="1"/>
    <xf numFmtId="166" fontId="0" fillId="0" borderId="18" xfId="1" applyNumberFormat="1" applyFont="1" applyBorder="1"/>
    <xf numFmtId="166" fontId="0" fillId="0" borderId="0" xfId="0" applyNumberFormat="1"/>
    <xf numFmtId="166" fontId="0" fillId="0" borderId="18" xfId="0" applyNumberFormat="1" applyBorder="1"/>
    <xf numFmtId="166" fontId="0" fillId="0" borderId="0" xfId="1" applyNumberFormat="1" applyFont="1" applyAlignment="1">
      <alignment horizontal="center" vertical="top"/>
    </xf>
    <xf numFmtId="166" fontId="14" fillId="0" borderId="0" xfId="1" applyNumberFormat="1" applyFont="1"/>
    <xf numFmtId="166" fontId="0" fillId="0" borderId="0" xfId="1" applyNumberFormat="1" applyFont="1" applyAlignment="1">
      <alignment horizontal="center" vertical="center"/>
    </xf>
    <xf numFmtId="166" fontId="0" fillId="0" borderId="9" xfId="0" applyNumberFormat="1" applyBorder="1"/>
    <xf numFmtId="164" fontId="0" fillId="0" borderId="0" xfId="0" applyNumberFormat="1" applyBorder="1"/>
    <xf numFmtId="166" fontId="0" fillId="2" borderId="0" xfId="1" applyNumberFormat="1" applyFont="1" applyFill="1" applyBorder="1"/>
    <xf numFmtId="0" fontId="0" fillId="0" borderId="18" xfId="0" applyBorder="1"/>
    <xf numFmtId="166" fontId="0" fillId="0" borderId="15" xfId="0" applyNumberFormat="1" applyBorder="1"/>
    <xf numFmtId="166" fontId="0" fillId="0" borderId="2" xfId="0" applyNumberFormat="1" applyBorder="1"/>
    <xf numFmtId="166" fontId="0" fillId="0" borderId="1" xfId="0" applyNumberFormat="1" applyBorder="1"/>
    <xf numFmtId="9" fontId="0" fillId="0" borderId="0" xfId="0" applyNumberFormat="1" applyBorder="1"/>
    <xf numFmtId="43" fontId="0" fillId="0" borderId="0" xfId="0" applyNumberFormat="1" applyBorder="1"/>
    <xf numFmtId="43" fontId="0" fillId="0" borderId="2" xfId="1" applyNumberFormat="1" applyFont="1" applyBorder="1"/>
    <xf numFmtId="164" fontId="0" fillId="0" borderId="5" xfId="0" applyNumberFormat="1" applyBorder="1" applyAlignment="1">
      <alignment vertical="center"/>
    </xf>
    <xf numFmtId="166" fontId="0" fillId="0" borderId="5" xfId="0" applyNumberFormat="1" applyBorder="1" applyAlignment="1">
      <alignment vertical="center"/>
    </xf>
    <xf numFmtId="14" fontId="0" fillId="0" borderId="0" xfId="0" applyNumberFormat="1"/>
    <xf numFmtId="0" fontId="0" fillId="0" borderId="14" xfId="0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23"/>
  <sheetViews>
    <sheetView topLeftCell="A15" zoomScale="80" zoomScaleNormal="80" workbookViewId="0">
      <selection activeCell="C32" sqref="C32"/>
    </sheetView>
  </sheetViews>
  <sheetFormatPr defaultRowHeight="15"/>
  <cols>
    <col min="2" max="2" width="41.42578125" customWidth="1"/>
    <col min="3" max="3" width="22.140625" customWidth="1"/>
    <col min="4" max="4" width="31.5703125" customWidth="1"/>
  </cols>
  <sheetData>
    <row r="1" spans="2:5">
      <c r="B1" s="47" t="s">
        <v>1</v>
      </c>
      <c r="C1" s="47"/>
      <c r="D1" s="47"/>
      <c r="E1" s="47"/>
    </row>
    <row r="2" spans="2:5">
      <c r="B2" s="47"/>
      <c r="C2" s="47"/>
      <c r="D2" s="47"/>
      <c r="E2" s="47"/>
    </row>
    <row r="3" spans="2:5" ht="22.5">
      <c r="B3" s="46" t="s">
        <v>2</v>
      </c>
      <c r="C3" s="46"/>
      <c r="D3" s="46"/>
      <c r="E3" s="46"/>
    </row>
    <row r="5" spans="2:5" ht="20.25">
      <c r="B5" s="48" t="s">
        <v>142</v>
      </c>
      <c r="C5" s="48"/>
      <c r="D5" s="48"/>
      <c r="E5" s="3"/>
    </row>
    <row r="6" spans="2:5" ht="15.75" thickBot="1"/>
    <row r="7" spans="2:5" ht="15.75">
      <c r="B7" s="21" t="s">
        <v>0</v>
      </c>
      <c r="C7" s="22" t="s">
        <v>3</v>
      </c>
      <c r="D7" s="61">
        <f>'QS 09 - Note 01'!D16</f>
        <v>4195000</v>
      </c>
    </row>
    <row r="8" spans="2:5" ht="15.75">
      <c r="B8" s="9" t="s">
        <v>4</v>
      </c>
      <c r="C8" s="8" t="s">
        <v>8</v>
      </c>
      <c r="D8" s="62">
        <f>'QS 09 - Note 02'!D8</f>
        <v>20000000</v>
      </c>
    </row>
    <row r="9" spans="2:5" ht="15.75">
      <c r="B9" s="9" t="s">
        <v>5</v>
      </c>
      <c r="C9" s="8" t="s">
        <v>9</v>
      </c>
      <c r="D9" s="62">
        <f>'QS 09 - Note 03'!D11</f>
        <v>600000</v>
      </c>
    </row>
    <row r="10" spans="2:5" ht="16.5" thickBot="1">
      <c r="B10" s="9" t="s">
        <v>6</v>
      </c>
      <c r="C10" s="9"/>
      <c r="D10" s="63">
        <v>0</v>
      </c>
    </row>
    <row r="11" spans="2:5" ht="15.75">
      <c r="B11" s="9" t="s">
        <v>7</v>
      </c>
      <c r="C11" s="9"/>
      <c r="D11" s="62">
        <f>SUM(D7:D10)</f>
        <v>24795000</v>
      </c>
    </row>
    <row r="12" spans="2:5" ht="15.75">
      <c r="B12" s="9"/>
      <c r="C12" s="9"/>
      <c r="D12" s="62"/>
    </row>
    <row r="13" spans="2:5" ht="31.5">
      <c r="B13" s="23" t="s">
        <v>10</v>
      </c>
      <c r="C13" s="9"/>
      <c r="D13" s="62"/>
    </row>
    <row r="14" spans="2:5" ht="15.75">
      <c r="B14" s="9"/>
      <c r="C14" s="9"/>
      <c r="D14" s="62"/>
    </row>
    <row r="15" spans="2:5" ht="15.75">
      <c r="B15" s="9" t="s">
        <v>11</v>
      </c>
      <c r="C15" s="62">
        <v>-500000</v>
      </c>
      <c r="D15" s="62"/>
    </row>
    <row r="16" spans="2:5" ht="15.75">
      <c r="B16" s="9" t="s">
        <v>132</v>
      </c>
      <c r="C16" s="62">
        <v>-700000</v>
      </c>
      <c r="D16" s="62"/>
    </row>
    <row r="17" spans="2:4" ht="31.5">
      <c r="B17" s="24" t="s">
        <v>12</v>
      </c>
      <c r="C17" s="62">
        <f>-600000*0.25</f>
        <v>-150000</v>
      </c>
      <c r="D17" s="62"/>
    </row>
    <row r="18" spans="2:4" ht="40.5" customHeight="1" thickBot="1">
      <c r="B18" s="24" t="s">
        <v>13</v>
      </c>
      <c r="C18" s="63">
        <v>-15000000</v>
      </c>
      <c r="D18" s="63">
        <f>SUM(C15:C18)</f>
        <v>-16350000</v>
      </c>
    </row>
    <row r="19" spans="2:4" ht="15.75">
      <c r="B19" s="9"/>
      <c r="C19" s="62"/>
      <c r="D19" s="62"/>
    </row>
    <row r="20" spans="2:4" ht="16.5" thickBot="1">
      <c r="B20" s="9" t="s">
        <v>143</v>
      </c>
      <c r="C20" s="9"/>
      <c r="D20" s="64">
        <f>D11+D18</f>
        <v>8445000</v>
      </c>
    </row>
    <row r="21" spans="2:4" ht="16.5" thickTop="1">
      <c r="B21" s="9"/>
      <c r="C21" s="9"/>
      <c r="D21" s="62"/>
    </row>
    <row r="22" spans="2:4">
      <c r="B22" s="14" t="s">
        <v>14</v>
      </c>
      <c r="C22" s="4"/>
      <c r="D22" s="56"/>
    </row>
    <row r="23" spans="2:4">
      <c r="B23" s="4" t="s">
        <v>15</v>
      </c>
      <c r="C23" s="56">
        <f>600000*0.04</f>
        <v>24000</v>
      </c>
      <c r="D23" s="56"/>
    </row>
    <row r="24" spans="2:4">
      <c r="B24" s="4" t="s">
        <v>16</v>
      </c>
      <c r="C24" s="56">
        <f>600000*0.08</f>
        <v>48000</v>
      </c>
      <c r="D24" s="56"/>
    </row>
    <row r="25" spans="2:4">
      <c r="B25" s="4" t="s">
        <v>17</v>
      </c>
      <c r="C25" s="56">
        <f>600000*0.12</f>
        <v>72000</v>
      </c>
      <c r="D25" s="56"/>
    </row>
    <row r="26" spans="2:4">
      <c r="B26" s="4" t="s">
        <v>18</v>
      </c>
      <c r="C26" s="56">
        <f>600000*0.16</f>
        <v>96000</v>
      </c>
      <c r="D26" s="56"/>
    </row>
    <row r="27" spans="2:4">
      <c r="B27" s="4" t="s">
        <v>19</v>
      </c>
      <c r="C27" s="56">
        <f>600000*0.2</f>
        <v>120000</v>
      </c>
      <c r="D27" s="56"/>
    </row>
    <row r="28" spans="2:4" ht="15.75" thickBot="1">
      <c r="B28" s="4" t="s">
        <v>20</v>
      </c>
      <c r="C28" s="68">
        <f>5445000*0.24</f>
        <v>1306800</v>
      </c>
      <c r="D28" s="56">
        <f>SUM(C23:C28)</f>
        <v>1666800</v>
      </c>
    </row>
    <row r="29" spans="2:4" ht="15.75" thickBot="1">
      <c r="B29" s="25">
        <v>8445000</v>
      </c>
      <c r="C29" s="4"/>
      <c r="D29" s="56"/>
    </row>
    <row r="30" spans="2:4" ht="15.75" thickTop="1">
      <c r="B30" s="4"/>
      <c r="C30" s="4"/>
      <c r="D30" s="56"/>
    </row>
    <row r="31" spans="2:4">
      <c r="B31" s="14" t="s">
        <v>21</v>
      </c>
      <c r="C31" s="4"/>
      <c r="D31" s="56"/>
    </row>
    <row r="32" spans="2:4" ht="30" customHeight="1">
      <c r="B32" s="26" t="s">
        <v>133</v>
      </c>
      <c r="C32" s="66">
        <f>-600000*0.1</f>
        <v>-60000</v>
      </c>
      <c r="D32" s="4"/>
    </row>
    <row r="33" spans="2:4">
      <c r="B33" s="27" t="s">
        <v>134</v>
      </c>
      <c r="C33" s="56">
        <v>-130000</v>
      </c>
      <c r="D33" s="4"/>
    </row>
    <row r="34" spans="2:4" ht="15.75" thickBot="1">
      <c r="B34" s="4"/>
      <c r="C34" s="69"/>
      <c r="D34" s="70">
        <f>SUM(C32:C33)</f>
        <v>-190000</v>
      </c>
    </row>
    <row r="35" spans="2:4" ht="15.75" thickBot="1">
      <c r="B35" s="4" t="s">
        <v>22</v>
      </c>
      <c r="C35" s="4"/>
      <c r="D35" s="71">
        <f>D28+D34</f>
        <v>1476800</v>
      </c>
    </row>
    <row r="36" spans="2:4" ht="16.5" thickTop="1" thickBot="1">
      <c r="B36" s="5"/>
      <c r="C36" s="5"/>
      <c r="D36" s="5"/>
    </row>
    <row r="37" spans="2:4">
      <c r="C37" s="6"/>
      <c r="D37" s="6"/>
    </row>
    <row r="38" spans="2:4">
      <c r="B38" s="6"/>
      <c r="C38" s="6"/>
      <c r="D38" s="6"/>
    </row>
    <row r="39" spans="2:4">
      <c r="B39" s="6" t="s">
        <v>144</v>
      </c>
      <c r="C39" s="6"/>
      <c r="D39" s="6"/>
    </row>
    <row r="40" spans="2:4">
      <c r="B40" s="6"/>
      <c r="C40" s="6"/>
      <c r="D40" s="6"/>
    </row>
    <row r="41" spans="2:4">
      <c r="B41" s="6"/>
      <c r="C41" s="6"/>
      <c r="D41" s="6"/>
    </row>
    <row r="42" spans="2:4">
      <c r="B42" s="6"/>
      <c r="C42" s="6"/>
      <c r="D42" s="6"/>
    </row>
    <row r="43" spans="2:4">
      <c r="B43" s="6"/>
      <c r="C43" s="6"/>
      <c r="D43" s="6"/>
    </row>
    <row r="44" spans="2:4">
      <c r="B44" s="6"/>
      <c r="C44" s="6"/>
      <c r="D44" s="6"/>
    </row>
    <row r="45" spans="2:4">
      <c r="B45" s="6"/>
      <c r="C45" s="6"/>
      <c r="D45" s="6"/>
    </row>
    <row r="46" spans="2:4">
      <c r="B46" s="6"/>
      <c r="C46" s="6"/>
      <c r="D46" s="6"/>
    </row>
    <row r="47" spans="2:4">
      <c r="B47" s="6"/>
      <c r="C47" s="6"/>
      <c r="D47" s="6"/>
    </row>
    <row r="48" spans="2:4">
      <c r="B48" s="6"/>
      <c r="C48" s="6"/>
      <c r="D48" s="6"/>
    </row>
    <row r="49" spans="2:4">
      <c r="B49" s="6"/>
      <c r="C49" s="6"/>
      <c r="D49" s="6"/>
    </row>
    <row r="50" spans="2:4">
      <c r="B50" s="6"/>
      <c r="C50" s="6"/>
      <c r="D50" s="6"/>
    </row>
    <row r="51" spans="2:4">
      <c r="B51" s="6"/>
      <c r="C51" s="6"/>
      <c r="D51" s="6"/>
    </row>
    <row r="52" spans="2:4">
      <c r="B52" s="6"/>
      <c r="C52" s="6"/>
      <c r="D52" s="6"/>
    </row>
    <row r="53" spans="2:4">
      <c r="B53" s="6"/>
      <c r="C53" s="6"/>
      <c r="D53" s="6"/>
    </row>
    <row r="54" spans="2:4">
      <c r="B54" s="6"/>
      <c r="C54" s="6"/>
      <c r="D54" s="6"/>
    </row>
    <row r="55" spans="2:4">
      <c r="B55" s="6"/>
      <c r="C55" s="6"/>
      <c r="D55" s="6"/>
    </row>
    <row r="56" spans="2:4">
      <c r="B56" s="6"/>
      <c r="C56" s="6"/>
      <c r="D56" s="6"/>
    </row>
    <row r="57" spans="2:4">
      <c r="B57" s="6"/>
      <c r="C57" s="6"/>
      <c r="D57" s="6"/>
    </row>
    <row r="58" spans="2:4">
      <c r="B58" s="6"/>
      <c r="C58" s="6"/>
      <c r="D58" s="6"/>
    </row>
    <row r="59" spans="2:4">
      <c r="B59" s="6"/>
      <c r="C59" s="6"/>
      <c r="D59" s="6"/>
    </row>
    <row r="60" spans="2:4">
      <c r="B60" s="6"/>
      <c r="C60" s="6"/>
      <c r="D60" s="6"/>
    </row>
    <row r="61" spans="2:4">
      <c r="B61" s="6"/>
      <c r="C61" s="6"/>
      <c r="D61" s="6"/>
    </row>
    <row r="62" spans="2:4">
      <c r="B62" s="6"/>
      <c r="C62" s="6"/>
      <c r="D62" s="6"/>
    </row>
    <row r="63" spans="2:4">
      <c r="B63" s="6"/>
      <c r="C63" s="6"/>
      <c r="D63" s="6"/>
    </row>
    <row r="64" spans="2:4">
      <c r="B64" s="6"/>
      <c r="C64" s="6"/>
      <c r="D64" s="6"/>
    </row>
    <row r="65" spans="2:4">
      <c r="B65" s="6"/>
      <c r="C65" s="6"/>
      <c r="D65" s="6"/>
    </row>
    <row r="66" spans="2:4">
      <c r="B66" s="6"/>
      <c r="C66" s="6"/>
      <c r="D66" s="6"/>
    </row>
    <row r="67" spans="2:4">
      <c r="B67" s="6"/>
      <c r="C67" s="6"/>
      <c r="D67" s="6"/>
    </row>
    <row r="68" spans="2:4">
      <c r="B68" s="6"/>
      <c r="C68" s="6"/>
      <c r="D68" s="6"/>
    </row>
    <row r="69" spans="2:4">
      <c r="B69" s="6"/>
      <c r="C69" s="6"/>
      <c r="D69" s="6"/>
    </row>
    <row r="70" spans="2:4">
      <c r="B70" s="6"/>
      <c r="C70" s="6"/>
      <c r="D70" s="6"/>
    </row>
    <row r="71" spans="2:4">
      <c r="B71" s="6"/>
      <c r="C71" s="6"/>
      <c r="D71" s="6"/>
    </row>
    <row r="72" spans="2:4">
      <c r="B72" s="6"/>
      <c r="C72" s="6"/>
      <c r="D72" s="6"/>
    </row>
    <row r="73" spans="2:4">
      <c r="B73" s="6"/>
      <c r="C73" s="6"/>
      <c r="D73" s="6"/>
    </row>
    <row r="74" spans="2:4">
      <c r="B74" s="6"/>
      <c r="C74" s="6"/>
      <c r="D74" s="6"/>
    </row>
    <row r="75" spans="2:4">
      <c r="B75" s="6"/>
      <c r="C75" s="6"/>
      <c r="D75" s="6"/>
    </row>
    <row r="76" spans="2:4">
      <c r="B76" s="6"/>
      <c r="C76" s="6"/>
      <c r="D76" s="6"/>
    </row>
    <row r="77" spans="2:4">
      <c r="B77" s="6"/>
      <c r="C77" s="6"/>
      <c r="D77" s="6"/>
    </row>
    <row r="78" spans="2:4">
      <c r="B78" s="6"/>
      <c r="C78" s="6"/>
      <c r="D78" s="6"/>
    </row>
    <row r="79" spans="2:4">
      <c r="B79" s="6"/>
      <c r="C79" s="6"/>
      <c r="D79" s="6"/>
    </row>
    <row r="80" spans="2:4">
      <c r="B80" s="6"/>
      <c r="C80" s="6"/>
      <c r="D80" s="6"/>
    </row>
    <row r="81" spans="2:4">
      <c r="B81" s="6"/>
      <c r="C81" s="6"/>
      <c r="D81" s="6"/>
    </row>
    <row r="82" spans="2:4">
      <c r="B82" s="6"/>
      <c r="C82" s="6"/>
      <c r="D82" s="6"/>
    </row>
    <row r="83" spans="2:4">
      <c r="B83" s="6"/>
      <c r="C83" s="6"/>
      <c r="D83" s="6"/>
    </row>
    <row r="84" spans="2:4">
      <c r="B84" s="6"/>
      <c r="C84" s="6"/>
      <c r="D84" s="6"/>
    </row>
    <row r="85" spans="2:4">
      <c r="B85" s="6"/>
      <c r="C85" s="6"/>
      <c r="D85" s="6"/>
    </row>
    <row r="86" spans="2:4">
      <c r="B86" s="6"/>
      <c r="C86" s="6"/>
      <c r="D86" s="6"/>
    </row>
    <row r="87" spans="2:4">
      <c r="B87" s="6"/>
      <c r="C87" s="6"/>
      <c r="D87" s="6"/>
    </row>
    <row r="88" spans="2:4">
      <c r="B88" s="6"/>
      <c r="C88" s="6"/>
      <c r="D88" s="6"/>
    </row>
    <row r="89" spans="2:4">
      <c r="B89" s="6"/>
      <c r="C89" s="6"/>
      <c r="D89" s="6"/>
    </row>
    <row r="90" spans="2:4">
      <c r="B90" s="6"/>
      <c r="C90" s="6"/>
      <c r="D90" s="6"/>
    </row>
    <row r="91" spans="2:4">
      <c r="B91" s="6"/>
      <c r="C91" s="6"/>
      <c r="D91" s="6"/>
    </row>
    <row r="92" spans="2:4">
      <c r="B92" s="6"/>
      <c r="C92" s="6"/>
      <c r="D92" s="6"/>
    </row>
    <row r="93" spans="2:4">
      <c r="B93" s="6"/>
      <c r="C93" s="6"/>
      <c r="D93" s="6"/>
    </row>
    <row r="94" spans="2:4">
      <c r="B94" s="6"/>
      <c r="C94" s="6"/>
      <c r="D94" s="6"/>
    </row>
    <row r="95" spans="2:4">
      <c r="B95" s="6"/>
      <c r="C95" s="6"/>
      <c r="D95" s="6"/>
    </row>
    <row r="96" spans="2:4">
      <c r="B96" s="6"/>
      <c r="C96" s="6"/>
      <c r="D96" s="6"/>
    </row>
    <row r="97" spans="2:4">
      <c r="B97" s="6"/>
      <c r="C97" s="6"/>
      <c r="D97" s="6"/>
    </row>
    <row r="98" spans="2:4">
      <c r="B98" s="6"/>
      <c r="C98" s="6"/>
      <c r="D98" s="6"/>
    </row>
    <row r="99" spans="2:4">
      <c r="B99" s="6"/>
      <c r="C99" s="6"/>
      <c r="D99" s="6"/>
    </row>
    <row r="100" spans="2:4">
      <c r="B100" s="6"/>
      <c r="C100" s="6"/>
      <c r="D100" s="6"/>
    </row>
    <row r="101" spans="2:4">
      <c r="B101" s="6"/>
      <c r="C101" s="6"/>
      <c r="D101" s="6"/>
    </row>
    <row r="102" spans="2:4">
      <c r="B102" s="6"/>
      <c r="C102" s="6"/>
      <c r="D102" s="6"/>
    </row>
    <row r="103" spans="2:4">
      <c r="B103" s="6"/>
      <c r="C103" s="6"/>
      <c r="D103" s="6"/>
    </row>
    <row r="104" spans="2:4">
      <c r="B104" s="6"/>
      <c r="C104" s="6"/>
      <c r="D104" s="6"/>
    </row>
    <row r="105" spans="2:4">
      <c r="B105" s="6"/>
      <c r="C105" s="6"/>
      <c r="D105" s="6"/>
    </row>
    <row r="106" spans="2:4">
      <c r="B106" s="6"/>
      <c r="C106" s="6"/>
      <c r="D106" s="6"/>
    </row>
    <row r="107" spans="2:4">
      <c r="B107" s="6"/>
      <c r="C107" s="6"/>
      <c r="D107" s="6"/>
    </row>
    <row r="108" spans="2:4">
      <c r="B108" s="6"/>
      <c r="C108" s="6"/>
      <c r="D108" s="6"/>
    </row>
    <row r="109" spans="2:4">
      <c r="B109" s="6"/>
      <c r="C109" s="6"/>
      <c r="D109" s="6"/>
    </row>
    <row r="110" spans="2:4">
      <c r="B110" s="6"/>
      <c r="C110" s="6"/>
      <c r="D110" s="6"/>
    </row>
    <row r="111" spans="2:4">
      <c r="B111" s="6"/>
      <c r="C111" s="6"/>
      <c r="D111" s="6"/>
    </row>
    <row r="112" spans="2:4">
      <c r="B112" s="6"/>
      <c r="C112" s="6"/>
      <c r="D112" s="6"/>
    </row>
    <row r="113" spans="2:4">
      <c r="B113" s="6"/>
      <c r="C113" s="6"/>
      <c r="D113" s="6"/>
    </row>
    <row r="114" spans="2:4">
      <c r="B114" s="6"/>
      <c r="C114" s="6"/>
      <c r="D114" s="6"/>
    </row>
    <row r="115" spans="2:4">
      <c r="B115" s="6"/>
      <c r="C115" s="6"/>
      <c r="D115" s="6"/>
    </row>
    <row r="116" spans="2:4">
      <c r="B116" s="6"/>
      <c r="C116" s="6"/>
      <c r="D116" s="6"/>
    </row>
    <row r="117" spans="2:4">
      <c r="B117" s="6"/>
      <c r="C117" s="6"/>
      <c r="D117" s="6"/>
    </row>
    <row r="118" spans="2:4">
      <c r="B118" s="6"/>
      <c r="C118" s="6"/>
      <c r="D118" s="6"/>
    </row>
    <row r="119" spans="2:4">
      <c r="B119" s="6"/>
      <c r="C119" s="6"/>
      <c r="D119" s="6"/>
    </row>
    <row r="120" spans="2:4">
      <c r="B120" s="6"/>
      <c r="C120" s="6"/>
      <c r="D120" s="6"/>
    </row>
    <row r="121" spans="2:4">
      <c r="B121" s="6"/>
      <c r="C121" s="6"/>
      <c r="D121" s="6"/>
    </row>
    <row r="122" spans="2:4">
      <c r="B122" s="6"/>
      <c r="C122" s="6"/>
      <c r="D122" s="6"/>
    </row>
    <row r="123" spans="2:4">
      <c r="B123" s="6"/>
      <c r="C123" s="6"/>
      <c r="D123" s="6"/>
    </row>
  </sheetData>
  <mergeCells count="3">
    <mergeCell ref="B3:E3"/>
    <mergeCell ref="B1:E2"/>
    <mergeCell ref="B5:D5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topLeftCell="A3" zoomScale="90" zoomScaleNormal="90" workbookViewId="0">
      <selection activeCell="I13" sqref="I13"/>
    </sheetView>
  </sheetViews>
  <sheetFormatPr defaultRowHeight="15"/>
  <cols>
    <col min="2" max="2" width="43.85546875" customWidth="1"/>
    <col min="3" max="3" width="15.42578125" customWidth="1"/>
    <col min="4" max="4" width="16.85546875" customWidth="1"/>
    <col min="5" max="5" width="13.85546875" customWidth="1"/>
    <col min="7" max="8" width="11.5703125" bestFit="1" customWidth="1"/>
  </cols>
  <sheetData>
    <row r="1" spans="2:9" ht="21">
      <c r="B1" s="50" t="s">
        <v>114</v>
      </c>
      <c r="C1" s="50"/>
      <c r="D1" s="50"/>
      <c r="E1" s="50"/>
    </row>
    <row r="2" spans="2:9" ht="18.75">
      <c r="B2" s="49" t="s">
        <v>115</v>
      </c>
      <c r="C2" s="49"/>
      <c r="D2" s="49"/>
    </row>
    <row r="3" spans="2:9" ht="15.75" thickBot="1"/>
    <row r="4" spans="2:9" ht="15.75" thickBot="1">
      <c r="B4" s="12"/>
      <c r="C4" s="44" t="s">
        <v>62</v>
      </c>
      <c r="D4" s="44" t="s">
        <v>63</v>
      </c>
    </row>
    <row r="5" spans="2:9">
      <c r="B5" s="4" t="s">
        <v>64</v>
      </c>
      <c r="C5" s="56">
        <v>5685</v>
      </c>
      <c r="D5" s="56"/>
    </row>
    <row r="6" spans="2:9">
      <c r="B6" s="4" t="s">
        <v>116</v>
      </c>
      <c r="C6" s="56">
        <v>0</v>
      </c>
      <c r="D6" s="56">
        <v>0</v>
      </c>
    </row>
    <row r="7" spans="2:9">
      <c r="B7" s="4" t="s">
        <v>117</v>
      </c>
      <c r="C7" s="56">
        <v>100</v>
      </c>
      <c r="D7" s="56"/>
    </row>
    <row r="8" spans="2:9">
      <c r="B8" s="4" t="s">
        <v>118</v>
      </c>
      <c r="C8" s="56">
        <v>250</v>
      </c>
      <c r="D8" s="56"/>
    </row>
    <row r="9" spans="2:9">
      <c r="B9" s="4" t="s">
        <v>119</v>
      </c>
      <c r="C9" s="56">
        <v>70</v>
      </c>
      <c r="D9" s="56"/>
    </row>
    <row r="10" spans="2:9">
      <c r="B10" s="4" t="s">
        <v>120</v>
      </c>
      <c r="C10" s="56">
        <v>10</v>
      </c>
      <c r="D10" s="4"/>
      <c r="G10" s="122">
        <v>43616</v>
      </c>
      <c r="H10" s="122">
        <v>43921</v>
      </c>
      <c r="I10">
        <f>H10-G10</f>
        <v>305</v>
      </c>
    </row>
    <row r="11" spans="2:9" ht="15.75" thickBot="1">
      <c r="B11" s="4" t="s">
        <v>73</v>
      </c>
      <c r="C11" s="68">
        <v>0</v>
      </c>
      <c r="D11" s="56">
        <v>100</v>
      </c>
      <c r="I11">
        <v>-32</v>
      </c>
    </row>
    <row r="12" spans="2:9" ht="15.75" thickBot="1">
      <c r="B12" s="4"/>
      <c r="C12" s="115">
        <f>SUM(C5:C11)</f>
        <v>6115</v>
      </c>
      <c r="D12" s="115">
        <f>SUM(D5:D11)</f>
        <v>100</v>
      </c>
      <c r="I12" s="123">
        <f>SUM(I10:I11)</f>
        <v>273</v>
      </c>
    </row>
    <row r="13" spans="2:9" ht="16.5" thickTop="1" thickBot="1">
      <c r="B13" s="4"/>
      <c r="C13" s="115">
        <f>-D12</f>
        <v>-100</v>
      </c>
      <c r="D13" s="115"/>
      <c r="I13" t="s">
        <v>35</v>
      </c>
    </row>
    <row r="14" spans="2:9">
      <c r="B14" s="4" t="s">
        <v>121</v>
      </c>
      <c r="C14" s="116">
        <f>SUM(C12:C13)</f>
        <v>6015</v>
      </c>
      <c r="D14" s="115"/>
    </row>
    <row r="15" spans="2:9">
      <c r="B15" s="4" t="s">
        <v>123</v>
      </c>
      <c r="C15" s="115">
        <v>0</v>
      </c>
      <c r="D15" s="115"/>
    </row>
    <row r="16" spans="2:9" ht="15.75" thickBot="1">
      <c r="B16" s="4" t="s">
        <v>122</v>
      </c>
      <c r="C16" s="71">
        <f>SUM(C14)</f>
        <v>6015</v>
      </c>
      <c r="D16" s="115"/>
    </row>
    <row r="17" spans="1:5" ht="16.5" thickTop="1" thickBot="1">
      <c r="B17" s="5"/>
      <c r="C17" s="70"/>
      <c r="D17" s="70"/>
    </row>
    <row r="18" spans="1:5">
      <c r="B18" s="6"/>
      <c r="C18" s="6"/>
      <c r="D18" s="6"/>
    </row>
    <row r="19" spans="1:5">
      <c r="A19" t="s">
        <v>166</v>
      </c>
      <c r="B19" s="42" t="s">
        <v>165</v>
      </c>
      <c r="C19" s="117">
        <v>0.08</v>
      </c>
      <c r="D19" s="118">
        <f>C19*C16</f>
        <v>481.2</v>
      </c>
    </row>
    <row r="20" spans="1:5" ht="15.75" thickBot="1"/>
    <row r="21" spans="1:5" ht="15.75" thickBot="1">
      <c r="A21" t="s">
        <v>167</v>
      </c>
      <c r="B21" s="12"/>
      <c r="C21" s="44" t="s">
        <v>124</v>
      </c>
      <c r="D21" s="44" t="s">
        <v>125</v>
      </c>
      <c r="E21" s="43" t="s">
        <v>126</v>
      </c>
    </row>
    <row r="22" spans="1:5">
      <c r="B22" s="4" t="s">
        <v>127</v>
      </c>
      <c r="C22" s="56">
        <v>0</v>
      </c>
      <c r="D22" s="56">
        <v>100</v>
      </c>
      <c r="E22" s="65">
        <f>SUM(C22:D22)</f>
        <v>100</v>
      </c>
    </row>
    <row r="23" spans="1:5">
      <c r="B23" s="4" t="s">
        <v>128</v>
      </c>
      <c r="C23" s="56">
        <v>70</v>
      </c>
      <c r="D23" s="56">
        <v>0</v>
      </c>
      <c r="E23" s="65">
        <f>SUM(C23:D23)</f>
        <v>70</v>
      </c>
    </row>
    <row r="24" spans="1:5">
      <c r="B24" s="4" t="s">
        <v>129</v>
      </c>
      <c r="C24" s="119">
        <f>E24/2</f>
        <v>2922.5</v>
      </c>
      <c r="D24" s="119">
        <f>E24/2</f>
        <v>2922.5</v>
      </c>
      <c r="E24" s="65">
        <f>E25-E22-E23</f>
        <v>5845</v>
      </c>
    </row>
    <row r="25" spans="1:5" ht="30.75" thickBot="1">
      <c r="B25" s="34" t="s">
        <v>130</v>
      </c>
      <c r="C25" s="120">
        <f>SUM(C22:C24)</f>
        <v>2992.5</v>
      </c>
      <c r="D25" s="120">
        <f>SUM(D22:D24)</f>
        <v>3022.5</v>
      </c>
      <c r="E25" s="121">
        <f>C16</f>
        <v>6015</v>
      </c>
    </row>
    <row r="26" spans="1:5" ht="15.75" thickTop="1">
      <c r="B26" s="4" t="s">
        <v>131</v>
      </c>
      <c r="C26" s="45">
        <v>0.08</v>
      </c>
      <c r="D26" s="45">
        <v>0.08</v>
      </c>
      <c r="E26" s="45">
        <v>0.08</v>
      </c>
    </row>
    <row r="27" spans="1:5">
      <c r="B27" s="4"/>
      <c r="C27" s="4"/>
      <c r="D27" s="4"/>
      <c r="E27" s="7"/>
    </row>
    <row r="28" spans="1:5" ht="15.75" thickBot="1">
      <c r="B28" s="5"/>
      <c r="C28" s="32">
        <f>C26*C25</f>
        <v>239.4</v>
      </c>
      <c r="D28" s="32">
        <f>D26*D25</f>
        <v>241.8</v>
      </c>
      <c r="E28" s="32">
        <f>E26*E25</f>
        <v>481.2</v>
      </c>
    </row>
  </sheetData>
  <mergeCells count="2">
    <mergeCell ref="B1:E1"/>
    <mergeCell ref="B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6"/>
  <sheetViews>
    <sheetView zoomScaleNormal="100" workbookViewId="0">
      <selection activeCell="D16" sqref="D16"/>
    </sheetView>
  </sheetViews>
  <sheetFormatPr defaultRowHeight="15"/>
  <cols>
    <col min="2" max="2" width="41.5703125" customWidth="1"/>
    <col min="3" max="3" width="17" customWidth="1"/>
    <col min="4" max="4" width="18" customWidth="1"/>
  </cols>
  <sheetData>
    <row r="1" spans="2:7" ht="18.75">
      <c r="B1" s="49" t="s">
        <v>23</v>
      </c>
      <c r="C1" s="49"/>
      <c r="D1" s="49"/>
      <c r="E1" s="2"/>
      <c r="F1" s="2"/>
      <c r="G1" s="2"/>
    </row>
    <row r="2" spans="2:7" ht="15.75" thickBot="1">
      <c r="B2" s="1"/>
      <c r="C2" s="1"/>
      <c r="D2" s="1"/>
      <c r="E2" s="1"/>
      <c r="F2" s="1"/>
      <c r="G2" s="1"/>
    </row>
    <row r="3" spans="2:7" ht="15.75">
      <c r="B3" s="18" t="s">
        <v>24</v>
      </c>
      <c r="C3" s="19" t="s">
        <v>135</v>
      </c>
      <c r="D3" s="55">
        <f>250000*12</f>
        <v>3000000</v>
      </c>
    </row>
    <row r="4" spans="2:7" ht="15.75">
      <c r="B4" s="9" t="s">
        <v>25</v>
      </c>
      <c r="C4" s="10" t="s">
        <v>136</v>
      </c>
      <c r="D4" s="56">
        <f>10000*12</f>
        <v>120000</v>
      </c>
    </row>
    <row r="5" spans="2:7" ht="15.75">
      <c r="B5" s="20" t="s">
        <v>26</v>
      </c>
      <c r="C5" s="10"/>
      <c r="D5" s="56"/>
    </row>
    <row r="6" spans="2:7" ht="15.75">
      <c r="B6" s="9" t="s">
        <v>27</v>
      </c>
      <c r="C6" s="58">
        <v>35000</v>
      </c>
      <c r="D6" s="56"/>
    </row>
    <row r="7" spans="2:7" ht="16.5" thickBot="1">
      <c r="B7" s="9" t="s">
        <v>28</v>
      </c>
      <c r="C7" s="59">
        <v>10000</v>
      </c>
      <c r="D7" s="56"/>
    </row>
    <row r="8" spans="2:7" ht="15.75">
      <c r="B8" s="9"/>
      <c r="C8" s="60" t="s">
        <v>137</v>
      </c>
      <c r="D8" s="56">
        <f>45000*12</f>
        <v>540000</v>
      </c>
    </row>
    <row r="9" spans="2:7" ht="15.75">
      <c r="B9" s="9" t="s">
        <v>29</v>
      </c>
      <c r="C9" s="10" t="s">
        <v>138</v>
      </c>
      <c r="D9" s="56">
        <f>30000*12</f>
        <v>360000</v>
      </c>
    </row>
    <row r="10" spans="2:7" ht="15.75">
      <c r="B10" s="9" t="s">
        <v>30</v>
      </c>
      <c r="C10" s="10" t="s">
        <v>139</v>
      </c>
      <c r="D10" s="56">
        <f>250000*0.5</f>
        <v>125000</v>
      </c>
    </row>
    <row r="11" spans="2:7" ht="15.75">
      <c r="B11" s="9" t="s">
        <v>31</v>
      </c>
      <c r="C11" s="10" t="s">
        <v>140</v>
      </c>
      <c r="D11" s="56">
        <f>100000*0.5</f>
        <v>50000</v>
      </c>
    </row>
    <row r="12" spans="2:7" ht="15.75">
      <c r="B12" s="9"/>
      <c r="C12" s="10"/>
      <c r="D12" s="56"/>
    </row>
    <row r="13" spans="2:7" ht="15.75">
      <c r="B13" s="9" t="s">
        <v>32</v>
      </c>
      <c r="C13" s="10" t="s">
        <v>34</v>
      </c>
      <c r="D13" s="56">
        <v>0</v>
      </c>
    </row>
    <row r="14" spans="2:7" ht="15.75">
      <c r="B14" s="9" t="s">
        <v>33</v>
      </c>
      <c r="C14" s="10" t="s">
        <v>34</v>
      </c>
      <c r="D14" s="56">
        <v>0</v>
      </c>
    </row>
    <row r="15" spans="2:7" ht="15.75">
      <c r="B15" s="9"/>
      <c r="C15" s="10" t="s">
        <v>35</v>
      </c>
      <c r="D15" s="56"/>
    </row>
    <row r="16" spans="2:7" ht="33" customHeight="1" thickBot="1">
      <c r="B16" s="24" t="s">
        <v>36</v>
      </c>
      <c r="C16" s="10"/>
      <c r="D16" s="57">
        <f>SUM(D3:D15)</f>
        <v>4195000</v>
      </c>
    </row>
    <row r="17" spans="2:4" ht="16.5" thickTop="1">
      <c r="B17" s="9"/>
      <c r="C17" s="10"/>
      <c r="D17" s="4"/>
    </row>
    <row r="18" spans="2:4" ht="15.75" thickBot="1">
      <c r="B18" s="15"/>
      <c r="C18" s="16"/>
      <c r="D18" s="13"/>
    </row>
    <row r="19" spans="2:4">
      <c r="B19" s="6"/>
      <c r="C19" s="6"/>
      <c r="D19" s="6"/>
    </row>
    <row r="20" spans="2:4">
      <c r="B20" s="6"/>
      <c r="C20" s="6"/>
      <c r="D20" s="6"/>
    </row>
    <row r="21" spans="2:4">
      <c r="B21" s="6"/>
      <c r="C21" s="6"/>
      <c r="D21" s="6"/>
    </row>
    <row r="22" spans="2:4">
      <c r="B22" s="6"/>
      <c r="C22" s="6"/>
      <c r="D22" s="6"/>
    </row>
    <row r="23" spans="2:4">
      <c r="B23" s="6"/>
      <c r="C23" s="6"/>
      <c r="D23" s="6"/>
    </row>
    <row r="24" spans="2:4">
      <c r="B24" s="6"/>
      <c r="C24" s="6"/>
      <c r="D24" s="6"/>
    </row>
    <row r="25" spans="2:4">
      <c r="B25" s="6"/>
      <c r="C25" s="6"/>
      <c r="D25" s="6"/>
    </row>
    <row r="26" spans="2:4">
      <c r="B26" s="6"/>
      <c r="C26" s="6"/>
      <c r="D26" s="6"/>
    </row>
    <row r="27" spans="2:4">
      <c r="B27" s="6"/>
      <c r="C27" s="6"/>
      <c r="D27" s="6"/>
    </row>
    <row r="28" spans="2:4">
      <c r="B28" s="6"/>
      <c r="C28" s="6"/>
      <c r="D28" s="6"/>
    </row>
    <row r="29" spans="2:4">
      <c r="B29" s="6"/>
      <c r="C29" s="6"/>
      <c r="D29" s="6"/>
    </row>
    <row r="30" spans="2:4">
      <c r="B30" s="6"/>
      <c r="C30" s="6"/>
      <c r="D30" s="6"/>
    </row>
    <row r="31" spans="2:4">
      <c r="B31" s="6"/>
      <c r="C31" s="6"/>
      <c r="D31" s="6"/>
    </row>
    <row r="32" spans="2:4">
      <c r="B32" s="6"/>
      <c r="C32" s="6"/>
      <c r="D32" s="6"/>
    </row>
    <row r="33" spans="2:4">
      <c r="B33" s="6"/>
      <c r="C33" s="6"/>
      <c r="D33" s="6"/>
    </row>
    <row r="34" spans="2:4">
      <c r="B34" s="6"/>
      <c r="C34" s="6"/>
      <c r="D34" s="6"/>
    </row>
    <row r="35" spans="2:4">
      <c r="B35" s="6"/>
      <c r="C35" s="6"/>
      <c r="D35" s="6"/>
    </row>
    <row r="36" spans="2:4">
      <c r="B36" s="6"/>
      <c r="C36" s="6"/>
      <c r="D36" s="6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3"/>
  <sheetViews>
    <sheetView zoomScale="110" zoomScaleNormal="110" workbookViewId="0">
      <selection activeCell="D8" sqref="D8"/>
    </sheetView>
  </sheetViews>
  <sheetFormatPr defaultRowHeight="15"/>
  <cols>
    <col min="2" max="2" width="47.5703125" customWidth="1"/>
    <col min="3" max="3" width="13.85546875" customWidth="1"/>
    <col min="4" max="4" width="12.140625" customWidth="1"/>
  </cols>
  <sheetData>
    <row r="2" spans="2:4" ht="18.75">
      <c r="B2" s="49" t="s">
        <v>37</v>
      </c>
      <c r="C2" s="49"/>
      <c r="D2" s="49"/>
    </row>
    <row r="3" spans="2:4" ht="15.75" thickBot="1"/>
    <row r="4" spans="2:4" ht="15.75">
      <c r="B4" s="18" t="s">
        <v>38</v>
      </c>
      <c r="C4" s="11"/>
      <c r="D4" s="12"/>
    </row>
    <row r="5" spans="2:4" ht="15.75">
      <c r="B5" s="9" t="s">
        <v>39</v>
      </c>
      <c r="C5" s="7"/>
      <c r="D5" s="56">
        <v>16000000</v>
      </c>
    </row>
    <row r="6" spans="2:4" ht="15.75">
      <c r="B6" s="9" t="s">
        <v>40</v>
      </c>
      <c r="C6" s="7"/>
      <c r="D6" s="65">
        <v>4000000</v>
      </c>
    </row>
    <row r="7" spans="2:4" ht="15.75">
      <c r="B7" s="9"/>
      <c r="C7" s="7"/>
      <c r="D7" s="56"/>
    </row>
    <row r="8" spans="2:4" ht="16.5" thickBot="1">
      <c r="B8" s="9" t="s">
        <v>41</v>
      </c>
      <c r="C8" s="7"/>
      <c r="D8" s="57">
        <f>SUM(D5:D7)</f>
        <v>20000000</v>
      </c>
    </row>
    <row r="9" spans="2:4" ht="15.75" thickTop="1">
      <c r="B9" s="4"/>
      <c r="C9" s="7"/>
      <c r="D9" s="56"/>
    </row>
    <row r="10" spans="2:4">
      <c r="B10" s="4"/>
      <c r="C10" s="7"/>
      <c r="D10" s="4"/>
    </row>
    <row r="11" spans="2:4">
      <c r="B11" s="4"/>
      <c r="C11" s="7"/>
      <c r="D11" s="4"/>
    </row>
    <row r="12" spans="2:4">
      <c r="B12" s="4"/>
      <c r="C12" s="7"/>
      <c r="D12" s="4"/>
    </row>
    <row r="13" spans="2:4" ht="15.75" thickBot="1">
      <c r="B13" s="5"/>
      <c r="C13" s="13"/>
      <c r="D13" s="5"/>
    </row>
  </sheetData>
  <mergeCells count="1">
    <mergeCell ref="B2:D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3"/>
  <sheetViews>
    <sheetView workbookViewId="0">
      <selection activeCell="B2" sqref="B2:D2"/>
    </sheetView>
  </sheetViews>
  <sheetFormatPr defaultRowHeight="15"/>
  <cols>
    <col min="1" max="1" width="4.7109375" customWidth="1"/>
    <col min="2" max="2" width="44.5703125" customWidth="1"/>
    <col min="3" max="3" width="19.85546875" customWidth="1"/>
    <col min="4" max="4" width="17.85546875" customWidth="1"/>
  </cols>
  <sheetData>
    <row r="2" spans="2:4" ht="19.5" thickBot="1">
      <c r="B2" s="49" t="s">
        <v>42</v>
      </c>
      <c r="C2" s="49"/>
      <c r="D2" s="49"/>
    </row>
    <row r="3" spans="2:4">
      <c r="B3" s="29"/>
      <c r="C3" s="12"/>
      <c r="D3" s="11"/>
    </row>
    <row r="4" spans="2:4" ht="15.75">
      <c r="B4" s="30" t="s">
        <v>43</v>
      </c>
      <c r="C4" s="62">
        <f>50000*12</f>
        <v>600000</v>
      </c>
      <c r="D4" s="10"/>
    </row>
    <row r="5" spans="2:4" ht="16.5" thickBot="1">
      <c r="B5" s="30" t="s">
        <v>44</v>
      </c>
      <c r="C5" s="63" t="s">
        <v>141</v>
      </c>
      <c r="D5" s="60">
        <f>C4</f>
        <v>600000</v>
      </c>
    </row>
    <row r="6" spans="2:4" ht="15.75">
      <c r="B6" s="30"/>
      <c r="C6" s="9"/>
      <c r="D6" s="10"/>
    </row>
    <row r="7" spans="2:4" ht="15.75">
      <c r="B7" s="30" t="s">
        <v>45</v>
      </c>
      <c r="C7" s="9" t="s">
        <v>47</v>
      </c>
      <c r="D7" s="58">
        <v>0</v>
      </c>
    </row>
    <row r="8" spans="2:4" ht="15.75">
      <c r="B8" s="30" t="s">
        <v>46</v>
      </c>
      <c r="C8" s="9" t="s">
        <v>47</v>
      </c>
      <c r="D8" s="58">
        <v>0</v>
      </c>
    </row>
    <row r="9" spans="2:4" ht="31.5">
      <c r="B9" s="31" t="s">
        <v>48</v>
      </c>
      <c r="C9" s="9" t="s">
        <v>34</v>
      </c>
      <c r="D9" s="58">
        <v>0</v>
      </c>
    </row>
    <row r="10" spans="2:4" ht="15.75">
      <c r="B10" s="30"/>
      <c r="C10" s="9"/>
      <c r="D10" s="58"/>
    </row>
    <row r="11" spans="2:4" ht="32.25" thickBot="1">
      <c r="B11" s="31" t="s">
        <v>49</v>
      </c>
      <c r="C11" s="9"/>
      <c r="D11" s="67">
        <v>600000</v>
      </c>
    </row>
    <row r="12" spans="2:4" ht="16.5" thickTop="1" thickBot="1">
      <c r="B12" s="15"/>
      <c r="C12" s="5"/>
      <c r="D12" s="13"/>
    </row>
    <row r="13" spans="2:4">
      <c r="B13" s="6"/>
      <c r="C13" s="6"/>
      <c r="D13" s="6"/>
    </row>
    <row r="14" spans="2:4">
      <c r="B14" s="6"/>
      <c r="C14" s="6"/>
      <c r="D14" s="6"/>
    </row>
    <row r="15" spans="2:4">
      <c r="B15" s="6"/>
      <c r="C15" s="6"/>
      <c r="D15" s="6"/>
    </row>
    <row r="16" spans="2:4">
      <c r="B16" s="6"/>
      <c r="C16" s="6"/>
      <c r="D16" s="6"/>
    </row>
    <row r="17" spans="2:4">
      <c r="B17" s="6"/>
      <c r="C17" s="6"/>
      <c r="D17" s="6"/>
    </row>
    <row r="18" spans="2:4">
      <c r="B18" s="6"/>
      <c r="C18" s="6"/>
      <c r="D18" s="6"/>
    </row>
    <row r="19" spans="2:4">
      <c r="B19" s="6"/>
      <c r="C19" s="6"/>
      <c r="D19" s="6"/>
    </row>
    <row r="20" spans="2:4">
      <c r="B20" s="6"/>
      <c r="C20" s="6"/>
      <c r="D20" s="6"/>
    </row>
    <row r="21" spans="2:4">
      <c r="B21" s="6"/>
      <c r="C21" s="6"/>
      <c r="D21" s="6"/>
    </row>
    <row r="22" spans="2:4">
      <c r="B22" s="6"/>
      <c r="C22" s="6"/>
      <c r="D22" s="6"/>
    </row>
    <row r="23" spans="2:4">
      <c r="B23" s="6"/>
      <c r="C23" s="6"/>
      <c r="D23" s="6"/>
    </row>
  </sheetData>
  <mergeCells count="1">
    <mergeCell ref="B2:D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5"/>
  <sheetViews>
    <sheetView topLeftCell="A2" zoomScale="90" zoomScaleNormal="90" workbookViewId="0">
      <selection activeCell="H8" sqref="H8"/>
    </sheetView>
  </sheetViews>
  <sheetFormatPr defaultRowHeight="15"/>
  <cols>
    <col min="2" max="2" width="46.5703125" customWidth="1"/>
    <col min="3" max="3" width="20" customWidth="1"/>
    <col min="4" max="4" width="23.28515625" customWidth="1"/>
    <col min="6" max="6" width="22.28515625" bestFit="1" customWidth="1"/>
    <col min="7" max="7" width="12.140625" bestFit="1" customWidth="1"/>
    <col min="9" max="9" width="11.140625" bestFit="1" customWidth="1"/>
  </cols>
  <sheetData>
    <row r="2" spans="2:9" ht="21">
      <c r="B2" s="50" t="s">
        <v>50</v>
      </c>
      <c r="C2" s="50"/>
      <c r="D2" s="50"/>
    </row>
    <row r="3" spans="2:9" ht="18.75">
      <c r="B3" s="49" t="s">
        <v>52</v>
      </c>
      <c r="C3" s="49"/>
      <c r="D3" s="49"/>
    </row>
    <row r="4" spans="2:9" ht="18.75">
      <c r="B4" s="17"/>
      <c r="C4" s="17"/>
      <c r="D4" s="17"/>
    </row>
    <row r="5" spans="2:9" ht="16.5" thickBot="1">
      <c r="B5" s="28"/>
      <c r="C5" s="28"/>
      <c r="D5" s="28" t="s">
        <v>153</v>
      </c>
      <c r="F5" s="102" t="s">
        <v>157</v>
      </c>
    </row>
    <row r="6" spans="2:9" ht="15.75">
      <c r="B6" s="89" t="s">
        <v>37</v>
      </c>
      <c r="C6" s="22" t="s">
        <v>3</v>
      </c>
      <c r="D6" s="92">
        <f>'QS 08 - Note 01'!C28</f>
        <v>108209.45</v>
      </c>
    </row>
    <row r="7" spans="2:9" ht="15.75">
      <c r="B7" s="30" t="s">
        <v>51</v>
      </c>
      <c r="C7" s="8" t="s">
        <v>8</v>
      </c>
      <c r="D7" s="58">
        <f>'QS 08 - Note 02'!D11</f>
        <v>1257</v>
      </c>
      <c r="F7" t="s">
        <v>158</v>
      </c>
      <c r="G7">
        <v>657</v>
      </c>
      <c r="H7" s="79">
        <v>0.1</v>
      </c>
      <c r="I7" s="83">
        <f>G7*H7</f>
        <v>65.7</v>
      </c>
    </row>
    <row r="8" spans="2:9" ht="16.5" thickBot="1">
      <c r="B8" s="30" t="s">
        <v>6</v>
      </c>
      <c r="C8" s="9"/>
      <c r="D8" s="93">
        <v>0</v>
      </c>
      <c r="F8" t="s">
        <v>160</v>
      </c>
      <c r="G8" s="83">
        <f>D16-G7</f>
        <v>107859.45</v>
      </c>
      <c r="H8" s="79">
        <v>0.14000000000000001</v>
      </c>
      <c r="I8" s="83">
        <f>G8*H8</f>
        <v>15100.323</v>
      </c>
    </row>
    <row r="9" spans="2:9" ht="16.5" thickBot="1">
      <c r="B9" s="97" t="s">
        <v>53</v>
      </c>
      <c r="C9" s="99"/>
      <c r="D9" s="100">
        <f>SUM(D6:D8)</f>
        <v>109466.45</v>
      </c>
      <c r="F9" s="73"/>
      <c r="G9" s="73"/>
      <c r="H9" s="79"/>
      <c r="I9" s="103">
        <f>SUM(I7:I8)</f>
        <v>15166.023000000001</v>
      </c>
    </row>
    <row r="10" spans="2:9" ht="16.5" thickTop="1">
      <c r="B10" s="30"/>
      <c r="C10" s="9"/>
      <c r="D10" s="93"/>
      <c r="G10" s="73"/>
      <c r="H10" s="79"/>
    </row>
    <row r="11" spans="2:9" ht="15.75">
      <c r="B11" s="98" t="s">
        <v>54</v>
      </c>
      <c r="C11" s="62"/>
      <c r="D11" s="93"/>
      <c r="H11" s="79"/>
    </row>
    <row r="12" spans="2:9" ht="15.75">
      <c r="B12" s="30"/>
      <c r="C12" s="62"/>
      <c r="D12" s="93"/>
    </row>
    <row r="13" spans="2:9" ht="15.75">
      <c r="B13" s="30" t="s">
        <v>55</v>
      </c>
      <c r="C13" s="62">
        <v>-850</v>
      </c>
      <c r="D13" s="93"/>
    </row>
    <row r="14" spans="2:9" ht="15.75">
      <c r="B14" s="30" t="s">
        <v>56</v>
      </c>
      <c r="C14" s="62"/>
      <c r="D14" s="93"/>
    </row>
    <row r="15" spans="2:9" ht="31.5">
      <c r="B15" s="31" t="s">
        <v>154</v>
      </c>
      <c r="C15" s="62">
        <v>-100</v>
      </c>
      <c r="D15" s="93">
        <f>SUM(C13:C15)</f>
        <v>-950</v>
      </c>
    </row>
    <row r="16" spans="2:9" ht="16.5" thickBot="1">
      <c r="B16" s="30" t="s">
        <v>159</v>
      </c>
      <c r="C16" s="101"/>
      <c r="D16" s="94">
        <f>D9+D15</f>
        <v>108516.45</v>
      </c>
    </row>
    <row r="17" spans="2:4" ht="16.5" thickTop="1">
      <c r="B17" s="30" t="s">
        <v>35</v>
      </c>
      <c r="C17" s="62"/>
      <c r="D17" s="93"/>
    </row>
    <row r="18" spans="2:4" ht="15.75">
      <c r="B18" s="30" t="s">
        <v>155</v>
      </c>
      <c r="C18" s="62" t="s">
        <v>156</v>
      </c>
      <c r="D18" s="93">
        <f>I9</f>
        <v>15166.023000000001</v>
      </c>
    </row>
    <row r="19" spans="2:4" ht="15.75">
      <c r="B19" s="30"/>
      <c r="C19" s="62"/>
      <c r="D19" s="93"/>
    </row>
    <row r="20" spans="2:4" ht="15.75">
      <c r="B20" s="91" t="s">
        <v>57</v>
      </c>
      <c r="C20" s="62"/>
      <c r="D20" s="93"/>
    </row>
    <row r="21" spans="2:4" ht="15.75">
      <c r="B21" s="30" t="s">
        <v>58</v>
      </c>
      <c r="C21" s="62">
        <v>-5000</v>
      </c>
      <c r="D21" s="93"/>
    </row>
    <row r="22" spans="2:4" ht="15.75">
      <c r="B22" s="30" t="s">
        <v>59</v>
      </c>
      <c r="C22" s="62">
        <f>600*-0.05</f>
        <v>-30</v>
      </c>
      <c r="D22" s="93">
        <f>SUM(C21:C22)</f>
        <v>-5030</v>
      </c>
    </row>
    <row r="23" spans="2:4" ht="15.75" thickBot="1">
      <c r="B23" s="90" t="s">
        <v>60</v>
      </c>
      <c r="C23" s="88"/>
      <c r="D23" s="95">
        <f>D18+D22</f>
        <v>10136.023000000001</v>
      </c>
    </row>
    <row r="24" spans="2:4" ht="16.5" thickTop="1" thickBot="1">
      <c r="B24" s="15"/>
      <c r="C24" s="68"/>
      <c r="D24" s="96"/>
    </row>
    <row r="25" spans="2:4">
      <c r="D25" s="73"/>
    </row>
  </sheetData>
  <mergeCells count="2">
    <mergeCell ref="B2:D2"/>
    <mergeCell ref="B3:D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2"/>
  <sheetViews>
    <sheetView zoomScale="70" zoomScaleNormal="70" workbookViewId="0">
      <selection activeCell="C30" sqref="C30"/>
    </sheetView>
  </sheetViews>
  <sheetFormatPr defaultRowHeight="15"/>
  <cols>
    <col min="2" max="2" width="47.42578125" bestFit="1" customWidth="1"/>
    <col min="3" max="4" width="16.140625" customWidth="1"/>
  </cols>
  <sheetData>
    <row r="2" spans="2:4">
      <c r="B2" s="51" t="s">
        <v>61</v>
      </c>
      <c r="C2" s="51"/>
      <c r="D2" s="51"/>
    </row>
    <row r="3" spans="2:4" ht="15.75" thickBot="1">
      <c r="D3" s="78" t="s">
        <v>145</v>
      </c>
    </row>
    <row r="4" spans="2:4" ht="15.75" thickBot="1">
      <c r="B4" s="12"/>
      <c r="C4" s="44" t="s">
        <v>62</v>
      </c>
      <c r="D4" s="44" t="s">
        <v>63</v>
      </c>
    </row>
    <row r="5" spans="2:4">
      <c r="B5" s="4" t="s">
        <v>64</v>
      </c>
      <c r="C5" s="56">
        <v>102460</v>
      </c>
      <c r="D5" s="56"/>
    </row>
    <row r="6" spans="2:4">
      <c r="B6" s="33" t="s">
        <v>65</v>
      </c>
      <c r="C6" s="56"/>
      <c r="D6" s="56"/>
    </row>
    <row r="7" spans="2:4">
      <c r="B7" s="4" t="s">
        <v>66</v>
      </c>
      <c r="C7" s="56"/>
      <c r="D7" s="56">
        <v>1300</v>
      </c>
    </row>
    <row r="8" spans="2:4">
      <c r="B8" s="4" t="s">
        <v>67</v>
      </c>
      <c r="C8" s="56"/>
      <c r="D8" s="56">
        <v>570</v>
      </c>
    </row>
    <row r="9" spans="2:4">
      <c r="B9" s="4" t="s">
        <v>68</v>
      </c>
      <c r="C9" s="56"/>
      <c r="D9" s="56">
        <v>3830</v>
      </c>
    </row>
    <row r="10" spans="2:4">
      <c r="B10" s="4"/>
      <c r="C10" s="56"/>
      <c r="D10" s="56"/>
    </row>
    <row r="11" spans="2:4">
      <c r="B11" s="4" t="s">
        <v>146</v>
      </c>
      <c r="C11" s="56"/>
      <c r="D11" s="56">
        <v>220</v>
      </c>
    </row>
    <row r="12" spans="2:4" ht="30">
      <c r="B12" s="34" t="s">
        <v>69</v>
      </c>
      <c r="C12" s="56"/>
      <c r="D12" s="56">
        <v>100</v>
      </c>
    </row>
    <row r="13" spans="2:4">
      <c r="B13" s="4"/>
      <c r="C13" s="56"/>
      <c r="D13" s="56"/>
    </row>
    <row r="14" spans="2:4">
      <c r="B14" s="4" t="s">
        <v>70</v>
      </c>
      <c r="C14" s="56">
        <v>0</v>
      </c>
      <c r="D14" s="56">
        <v>0</v>
      </c>
    </row>
    <row r="15" spans="2:4">
      <c r="B15" s="4" t="s">
        <v>71</v>
      </c>
      <c r="C15" s="56">
        <v>0</v>
      </c>
      <c r="D15" s="56">
        <v>5252</v>
      </c>
    </row>
    <row r="16" spans="2:4">
      <c r="B16" s="4" t="s">
        <v>72</v>
      </c>
      <c r="C16" s="56">
        <v>236</v>
      </c>
      <c r="D16" s="56"/>
    </row>
    <row r="17" spans="2:4" ht="30">
      <c r="B17" s="34" t="s">
        <v>74</v>
      </c>
      <c r="C17" s="56">
        <v>14435</v>
      </c>
      <c r="D17" s="56"/>
    </row>
    <row r="18" spans="2:4">
      <c r="B18" s="4" t="s">
        <v>75</v>
      </c>
      <c r="C18" s="80">
        <v>0</v>
      </c>
      <c r="D18" s="56">
        <f>'පෙර වැඩ '!D14</f>
        <v>2628</v>
      </c>
    </row>
    <row r="19" spans="2:4">
      <c r="B19" s="4" t="s">
        <v>76</v>
      </c>
      <c r="C19" s="56">
        <v>632</v>
      </c>
      <c r="D19" s="56"/>
    </row>
    <row r="20" spans="2:4">
      <c r="B20" s="4" t="s">
        <v>77</v>
      </c>
      <c r="C20" s="65">
        <v>850</v>
      </c>
      <c r="D20" s="56"/>
    </row>
    <row r="21" spans="2:4">
      <c r="B21" s="4" t="s">
        <v>78</v>
      </c>
      <c r="C21" s="65">
        <v>100</v>
      </c>
      <c r="D21" s="56"/>
    </row>
    <row r="22" spans="2:4">
      <c r="B22" s="4" t="s">
        <v>79</v>
      </c>
      <c r="C22" s="65">
        <v>63</v>
      </c>
      <c r="D22" s="56"/>
    </row>
    <row r="23" spans="2:4" ht="15.75" thickBot="1">
      <c r="B23" s="4" t="s">
        <v>148</v>
      </c>
      <c r="C23" s="85">
        <f>'පෙර වැඩ '!F26</f>
        <v>3583.45</v>
      </c>
      <c r="D23" s="68"/>
    </row>
    <row r="24" spans="2:4">
      <c r="B24" s="4"/>
      <c r="C24" s="84">
        <f>SUM(C5:C23)</f>
        <v>122359.45</v>
      </c>
      <c r="D24" s="84">
        <f>SUM(D5:D23)</f>
        <v>13900</v>
      </c>
    </row>
    <row r="25" spans="2:4" ht="15.75" thickBot="1">
      <c r="B25" s="4"/>
      <c r="C25" s="68">
        <f>-D24</f>
        <v>-13900</v>
      </c>
      <c r="D25" s="56"/>
    </row>
    <row r="26" spans="2:4">
      <c r="B26" s="4"/>
      <c r="C26" s="84">
        <f>SUM(C24:C25)</f>
        <v>108459.45</v>
      </c>
      <c r="D26" s="56"/>
    </row>
    <row r="27" spans="2:4">
      <c r="B27" s="4" t="s">
        <v>81</v>
      </c>
      <c r="C27" s="56">
        <v>-250</v>
      </c>
      <c r="D27" s="56"/>
    </row>
    <row r="28" spans="2:4" ht="30.75" thickBot="1">
      <c r="B28" s="34" t="s">
        <v>82</v>
      </c>
      <c r="C28" s="86">
        <f>SUM(C26:C27)</f>
        <v>108209.45</v>
      </c>
      <c r="D28" s="56"/>
    </row>
    <row r="29" spans="2:4" ht="15.75" thickTop="1">
      <c r="B29" s="4"/>
      <c r="C29" s="65"/>
      <c r="D29" s="56"/>
    </row>
    <row r="30" spans="2:4">
      <c r="B30" s="4"/>
      <c r="C30" s="65"/>
      <c r="D30" s="56"/>
    </row>
    <row r="31" spans="2:4">
      <c r="B31" s="4"/>
      <c r="C31" s="65"/>
      <c r="D31" s="56"/>
    </row>
    <row r="32" spans="2:4" ht="15.75" thickBot="1">
      <c r="B32" s="5"/>
      <c r="C32" s="72"/>
      <c r="D32" s="68"/>
    </row>
  </sheetData>
  <mergeCells count="1">
    <mergeCell ref="B2:D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7"/>
  <sheetViews>
    <sheetView topLeftCell="A5" zoomScaleNormal="100" workbookViewId="0">
      <selection activeCell="F26" sqref="F26"/>
    </sheetView>
  </sheetViews>
  <sheetFormatPr defaultRowHeight="15"/>
  <cols>
    <col min="1" max="1" width="39.28515625" bestFit="1" customWidth="1"/>
    <col min="2" max="2" width="15.85546875" customWidth="1"/>
    <col min="3" max="3" width="19.42578125" customWidth="1"/>
    <col min="4" max="4" width="14.5703125" bestFit="1" customWidth="1"/>
    <col min="5" max="5" width="13.85546875" customWidth="1"/>
    <col min="6" max="6" width="10.5703125" bestFit="1" customWidth="1"/>
  </cols>
  <sheetData>
    <row r="2" spans="1:4">
      <c r="A2" t="s">
        <v>147</v>
      </c>
      <c r="C2" s="73"/>
      <c r="D2" s="73">
        <v>1500</v>
      </c>
    </row>
    <row r="3" spans="1:4">
      <c r="A3" s="75" t="s">
        <v>83</v>
      </c>
      <c r="B3" s="75"/>
      <c r="D3" s="73"/>
    </row>
    <row r="4" spans="1:4">
      <c r="A4" t="s">
        <v>84</v>
      </c>
      <c r="C4" s="73">
        <v>4800</v>
      </c>
      <c r="D4" s="73"/>
    </row>
    <row r="5" spans="1:4">
      <c r="A5" t="s">
        <v>85</v>
      </c>
      <c r="C5" s="73">
        <f>-(4800/3)*2</f>
        <v>-3200</v>
      </c>
      <c r="D5" s="73">
        <f>-SUM(C4:C5)</f>
        <v>-1600</v>
      </c>
    </row>
    <row r="6" spans="1:4" ht="15.75" thickBot="1">
      <c r="A6" t="s">
        <v>86</v>
      </c>
      <c r="C6" s="76"/>
      <c r="D6" s="77">
        <f>D2+D5</f>
        <v>-100</v>
      </c>
    </row>
    <row r="7" spans="1:4" ht="15.75" thickTop="1">
      <c r="C7" s="35"/>
      <c r="D7" s="35"/>
    </row>
    <row r="8" spans="1:4">
      <c r="C8" s="35"/>
      <c r="D8" s="35"/>
    </row>
    <row r="9" spans="1:4">
      <c r="A9" s="36" t="s">
        <v>87</v>
      </c>
      <c r="B9" s="36"/>
      <c r="C9" s="35"/>
      <c r="D9" s="35"/>
    </row>
    <row r="10" spans="1:4">
      <c r="A10" t="s">
        <v>88</v>
      </c>
      <c r="B10" s="73">
        <v>1400</v>
      </c>
      <c r="C10" s="79">
        <v>0.2</v>
      </c>
      <c r="D10" s="73">
        <f>B10*C10</f>
        <v>280</v>
      </c>
    </row>
    <row r="11" spans="1:4">
      <c r="A11" t="s">
        <v>89</v>
      </c>
      <c r="B11" s="73">
        <v>5400</v>
      </c>
      <c r="C11" s="79">
        <v>0.2</v>
      </c>
      <c r="D11" s="73">
        <f t="shared" ref="D11:D13" si="0">B11*C11</f>
        <v>1080</v>
      </c>
    </row>
    <row r="12" spans="1:4">
      <c r="A12" t="s">
        <v>90</v>
      </c>
      <c r="B12" s="73">
        <v>6340</v>
      </c>
      <c r="C12" s="79">
        <v>0.2</v>
      </c>
      <c r="D12" s="73">
        <f t="shared" si="0"/>
        <v>1268</v>
      </c>
    </row>
    <row r="13" spans="1:4">
      <c r="A13" t="s">
        <v>91</v>
      </c>
      <c r="B13" s="73">
        <v>4200</v>
      </c>
      <c r="C13" s="79" t="s">
        <v>141</v>
      </c>
      <c r="D13" s="73">
        <v>0</v>
      </c>
    </row>
    <row r="14" spans="1:4" ht="15.75" thickBot="1">
      <c r="B14" s="73"/>
      <c r="C14" s="35"/>
      <c r="D14" s="77">
        <f>SUM(D10:D13)</f>
        <v>2628</v>
      </c>
    </row>
    <row r="15" spans="1:4" ht="15.75" thickTop="1">
      <c r="C15" s="35"/>
      <c r="D15" s="35"/>
    </row>
    <row r="16" spans="1:4">
      <c r="A16" s="36" t="s">
        <v>80</v>
      </c>
      <c r="B16" s="36"/>
      <c r="C16" s="35"/>
      <c r="D16" s="35"/>
    </row>
    <row r="17" spans="1:6">
      <c r="C17" s="35"/>
      <c r="D17" s="35"/>
    </row>
    <row r="18" spans="1:6" ht="15.75" thickBot="1">
      <c r="A18" t="s">
        <v>92</v>
      </c>
      <c r="C18" s="37" t="s">
        <v>93</v>
      </c>
      <c r="D18" s="52" t="s">
        <v>95</v>
      </c>
      <c r="E18" t="s">
        <v>149</v>
      </c>
    </row>
    <row r="19" spans="1:6">
      <c r="C19" s="1" t="s">
        <v>94</v>
      </c>
      <c r="D19" s="52"/>
    </row>
    <row r="21" spans="1:6" ht="15.75" thickBot="1">
      <c r="C21" s="81">
        <v>9685</v>
      </c>
      <c r="D21" s="52" t="s">
        <v>95</v>
      </c>
      <c r="E21" s="73" t="s">
        <v>150</v>
      </c>
      <c r="F21" s="83">
        <f>(C21/C22)*12600</f>
        <v>6101.55</v>
      </c>
    </row>
    <row r="22" spans="1:6">
      <c r="C22" s="82">
        <v>20000</v>
      </c>
      <c r="D22" s="52"/>
    </row>
    <row r="24" spans="1:6">
      <c r="A24" t="s">
        <v>96</v>
      </c>
      <c r="F24" s="35">
        <v>9685</v>
      </c>
    </row>
    <row r="26" spans="1:6" ht="15.75" thickBot="1">
      <c r="A26" t="s">
        <v>97</v>
      </c>
      <c r="F26" s="38">
        <f>F24-F21</f>
        <v>3583.45</v>
      </c>
    </row>
    <row r="27" spans="1:6" ht="15.75" thickTop="1"/>
  </sheetData>
  <mergeCells count="2">
    <mergeCell ref="D18:D19"/>
    <mergeCell ref="D21:D22"/>
  </mergeCells>
  <pageMargins left="0.7" right="0.7" top="0.75" bottom="0.75" header="0.3" footer="0.3"/>
  <pageSetup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1"/>
  <sheetViews>
    <sheetView zoomScale="120" zoomScaleNormal="120" workbookViewId="0">
      <selection activeCell="D12" sqref="D12"/>
    </sheetView>
  </sheetViews>
  <sheetFormatPr defaultRowHeight="15"/>
  <cols>
    <col min="1" max="1" width="42.7109375" bestFit="1" customWidth="1"/>
    <col min="2" max="2" width="14.42578125" customWidth="1"/>
    <col min="3" max="3" width="16.7109375" customWidth="1"/>
    <col min="4" max="4" width="16.85546875" customWidth="1"/>
  </cols>
  <sheetData>
    <row r="2" spans="1:4">
      <c r="A2" s="51" t="s">
        <v>42</v>
      </c>
      <c r="B2" s="51"/>
      <c r="C2" s="51"/>
      <c r="D2" s="51"/>
    </row>
    <row r="3" spans="1:4" ht="15.75" thickBot="1"/>
    <row r="4" spans="1:4">
      <c r="A4" s="12" t="s">
        <v>46</v>
      </c>
      <c r="B4" s="12"/>
      <c r="C4" s="12" t="s">
        <v>98</v>
      </c>
      <c r="D4" s="55">
        <v>0</v>
      </c>
    </row>
    <row r="5" spans="1:4">
      <c r="A5" s="4" t="s">
        <v>99</v>
      </c>
      <c r="B5" s="4"/>
      <c r="C5" s="4"/>
      <c r="D5" s="56">
        <f>570/95*100</f>
        <v>600</v>
      </c>
    </row>
    <row r="6" spans="1:4">
      <c r="A6" s="4"/>
      <c r="B6" s="4"/>
      <c r="C6" s="4"/>
      <c r="D6" s="56"/>
    </row>
    <row r="7" spans="1:4">
      <c r="A7" s="14" t="s">
        <v>100</v>
      </c>
      <c r="B7" s="14"/>
      <c r="C7" s="4"/>
      <c r="D7" s="56"/>
    </row>
    <row r="8" spans="1:4">
      <c r="A8" s="4" t="s">
        <v>101</v>
      </c>
      <c r="B8" s="4"/>
      <c r="C8" s="56">
        <v>13500</v>
      </c>
      <c r="D8" s="56"/>
    </row>
    <row r="9" spans="1:4">
      <c r="A9" s="4" t="s">
        <v>152</v>
      </c>
      <c r="B9" s="56">
        <v>-12780</v>
      </c>
      <c r="C9" s="4"/>
      <c r="D9" s="56"/>
    </row>
    <row r="10" spans="1:4" ht="15.75" thickBot="1">
      <c r="A10" s="4" t="s">
        <v>151</v>
      </c>
      <c r="B10" s="56">
        <v>-63</v>
      </c>
      <c r="C10" s="68">
        <f>SUM(B9:B10)</f>
        <v>-12843</v>
      </c>
      <c r="D10" s="56">
        <f>C8+C10</f>
        <v>657</v>
      </c>
    </row>
    <row r="11" spans="1:4" ht="15.75" thickBot="1">
      <c r="A11" s="4" t="s">
        <v>102</v>
      </c>
      <c r="B11" s="4"/>
      <c r="C11" s="4"/>
      <c r="D11" s="57">
        <f>SUM(D5:D10)</f>
        <v>1257</v>
      </c>
    </row>
    <row r="12" spans="1:4" ht="16.5" thickTop="1" thickBot="1">
      <c r="A12" s="5"/>
      <c r="B12" s="5"/>
      <c r="C12" s="5"/>
      <c r="D12" s="68"/>
    </row>
    <row r="13" spans="1:4">
      <c r="A13" s="6"/>
      <c r="B13" s="6"/>
      <c r="C13" s="6"/>
      <c r="D13" s="87"/>
    </row>
    <row r="14" spans="1:4">
      <c r="A14" s="6"/>
      <c r="B14" s="6"/>
      <c r="C14" s="6"/>
      <c r="D14" s="87"/>
    </row>
    <row r="15" spans="1:4">
      <c r="A15" s="6"/>
      <c r="B15" s="6"/>
      <c r="C15" s="6"/>
      <c r="D15" s="6"/>
    </row>
    <row r="16" spans="1:4">
      <c r="A16" s="6"/>
      <c r="B16" s="6"/>
      <c r="C16" s="6"/>
      <c r="D16" s="6"/>
    </row>
    <row r="17" spans="1:4">
      <c r="A17" s="6"/>
      <c r="B17" s="6"/>
      <c r="C17" s="6"/>
      <c r="D17" s="6"/>
    </row>
    <row r="18" spans="1:4">
      <c r="A18" s="6"/>
      <c r="B18" s="6"/>
      <c r="C18" s="6"/>
      <c r="D18" s="6"/>
    </row>
    <row r="19" spans="1:4">
      <c r="A19" s="6"/>
      <c r="B19" s="6"/>
      <c r="C19" s="6"/>
      <c r="D19" s="6"/>
    </row>
    <row r="20" spans="1:4">
      <c r="A20" s="6"/>
      <c r="B20" s="6"/>
      <c r="C20" s="6"/>
      <c r="D20" s="6"/>
    </row>
    <row r="21" spans="1:4">
      <c r="A21" s="6"/>
      <c r="B21" s="6"/>
      <c r="C21" s="6"/>
      <c r="D21" s="6"/>
    </row>
  </sheetData>
  <mergeCells count="1">
    <mergeCell ref="A2:D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9"/>
  <sheetViews>
    <sheetView topLeftCell="A8" zoomScaleNormal="100" workbookViewId="0">
      <selection activeCell="D27" sqref="D27"/>
    </sheetView>
  </sheetViews>
  <sheetFormatPr defaultRowHeight="15"/>
  <cols>
    <col min="1" max="1" width="3.28515625" customWidth="1"/>
    <col min="2" max="2" width="33.7109375" customWidth="1"/>
    <col min="3" max="3" width="15" customWidth="1"/>
    <col min="4" max="4" width="16.5703125" customWidth="1"/>
    <col min="5" max="5" width="10.7109375" customWidth="1"/>
    <col min="6" max="6" width="14.85546875" bestFit="1" customWidth="1"/>
    <col min="7" max="7" width="15.42578125" bestFit="1" customWidth="1"/>
    <col min="9" max="9" width="12" bestFit="1" customWidth="1"/>
  </cols>
  <sheetData>
    <row r="2" spans="2:9">
      <c r="B2" s="39" t="s">
        <v>103</v>
      </c>
      <c r="C2" s="39"/>
      <c r="D2" s="39"/>
      <c r="E2" s="39"/>
    </row>
    <row r="4" spans="2:9">
      <c r="B4" t="s">
        <v>104</v>
      </c>
      <c r="D4" s="108">
        <v>6000000</v>
      </c>
      <c r="E4" t="s">
        <v>34</v>
      </c>
      <c r="F4">
        <v>0</v>
      </c>
    </row>
    <row r="5" spans="2:9">
      <c r="B5" t="s">
        <v>105</v>
      </c>
      <c r="D5" s="73"/>
      <c r="E5" s="73"/>
      <c r="F5" s="73"/>
    </row>
    <row r="6" spans="2:9">
      <c r="B6" t="s">
        <v>161</v>
      </c>
      <c r="D6" s="73">
        <v>8000000</v>
      </c>
      <c r="E6" s="79">
        <v>0.08</v>
      </c>
      <c r="F6" s="73">
        <f>D6*E6</f>
        <v>640000</v>
      </c>
    </row>
    <row r="7" spans="2:9">
      <c r="B7" t="s">
        <v>162</v>
      </c>
      <c r="D7" s="73">
        <v>4000000</v>
      </c>
      <c r="E7" s="79">
        <v>0</v>
      </c>
      <c r="F7" s="73">
        <f>D7*E7</f>
        <v>0</v>
      </c>
      <c r="I7" s="35"/>
    </row>
    <row r="8" spans="2:9">
      <c r="D8" s="73"/>
      <c r="E8" s="79"/>
      <c r="F8" s="73"/>
    </row>
    <row r="9" spans="2:9">
      <c r="B9" t="s">
        <v>163</v>
      </c>
      <c r="D9" s="73">
        <v>1000000</v>
      </c>
      <c r="E9" s="79">
        <v>0.08</v>
      </c>
      <c r="F9" s="112">
        <f>D9*E9</f>
        <v>80000</v>
      </c>
    </row>
    <row r="10" spans="2:9">
      <c r="D10" s="106">
        <f>SUM(D4:D9)</f>
        <v>19000000</v>
      </c>
      <c r="F10" s="113"/>
      <c r="G10" s="111">
        <f>SUM(F4:F9)</f>
        <v>720000</v>
      </c>
    </row>
    <row r="12" spans="2:9">
      <c r="B12" s="36" t="s">
        <v>106</v>
      </c>
    </row>
    <row r="13" spans="2:9">
      <c r="B13" t="s">
        <v>107</v>
      </c>
      <c r="C13" t="s">
        <v>110</v>
      </c>
      <c r="F13" s="83">
        <v>0</v>
      </c>
    </row>
    <row r="14" spans="2:9">
      <c r="B14" t="s">
        <v>108</v>
      </c>
      <c r="F14" s="73">
        <v>-100000</v>
      </c>
    </row>
    <row r="15" spans="2:9" ht="15.75" thickBot="1">
      <c r="B15" s="40" t="s">
        <v>109</v>
      </c>
      <c r="C15" s="41">
        <v>50000</v>
      </c>
      <c r="D15" s="53" t="s">
        <v>95</v>
      </c>
      <c r="E15" s="54">
        <v>13000000</v>
      </c>
      <c r="F15" s="109">
        <f>-(C15/C16)*E15</f>
        <v>-34210.526315789473</v>
      </c>
    </row>
    <row r="16" spans="2:9">
      <c r="B16" s="40"/>
      <c r="C16" s="107">
        <v>19000000</v>
      </c>
      <c r="D16" s="53"/>
      <c r="E16" s="54"/>
      <c r="F16" s="109"/>
    </row>
    <row r="17" spans="2:7" ht="21" customHeight="1">
      <c r="B17" t="s">
        <v>111</v>
      </c>
      <c r="F17" s="73">
        <v>-75000</v>
      </c>
    </row>
    <row r="18" spans="2:7" ht="15.75" thickBot="1">
      <c r="B18" t="s">
        <v>112</v>
      </c>
      <c r="F18" s="74">
        <v>-25000</v>
      </c>
      <c r="G18" s="110">
        <f>SUM(F13:F18)</f>
        <v>-234210.52631578947</v>
      </c>
    </row>
    <row r="19" spans="2:7">
      <c r="G19" s="105">
        <f>G10+G18</f>
        <v>485789.47368421056</v>
      </c>
    </row>
    <row r="21" spans="2:7" ht="15.75" thickBot="1">
      <c r="B21" t="s">
        <v>164</v>
      </c>
      <c r="G21" s="73">
        <f>-80000*0.8</f>
        <v>-64000</v>
      </c>
    </row>
    <row r="22" spans="2:7" ht="15.75" thickBot="1">
      <c r="B22" t="s">
        <v>113</v>
      </c>
      <c r="G22" s="114">
        <f>G19+G21</f>
        <v>421789.47368421056</v>
      </c>
    </row>
    <row r="23" spans="2:7" ht="15.75" thickTop="1"/>
    <row r="27" spans="2:7">
      <c r="C27" s="73">
        <v>50000</v>
      </c>
      <c r="D27" s="73">
        <f>50000/100*3</f>
        <v>1500</v>
      </c>
    </row>
    <row r="28" spans="2:7">
      <c r="C28" s="73">
        <v>950000</v>
      </c>
      <c r="D28" s="73">
        <f>950000/100*2</f>
        <v>19000</v>
      </c>
    </row>
    <row r="29" spans="2:7">
      <c r="C29" s="104">
        <v>1000000</v>
      </c>
      <c r="D29" s="106">
        <f>SUM(D27:D28)</f>
        <v>20500</v>
      </c>
    </row>
  </sheetData>
  <mergeCells count="3">
    <mergeCell ref="D15:D16"/>
    <mergeCell ref="E15:E16"/>
    <mergeCell ref="F15:F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QS 09</vt:lpstr>
      <vt:lpstr>QS 09 - Note 01</vt:lpstr>
      <vt:lpstr>QS 09 - Note 02</vt:lpstr>
      <vt:lpstr>QS 09 - Note 03</vt:lpstr>
      <vt:lpstr>QS 08</vt:lpstr>
      <vt:lpstr>QS 08 - Note 01</vt:lpstr>
      <vt:lpstr>පෙර වැඩ </vt:lpstr>
      <vt:lpstr>QS 08 - Note 02</vt:lpstr>
      <vt:lpstr>QS 07</vt:lpstr>
      <vt:lpstr>QS 05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JMC</dc:creator>
  <cp:lastModifiedBy>ACER</cp:lastModifiedBy>
  <dcterms:created xsi:type="dcterms:W3CDTF">2021-03-05T05:36:44Z</dcterms:created>
  <dcterms:modified xsi:type="dcterms:W3CDTF">2021-03-08T22:29:05Z</dcterms:modified>
</cp:coreProperties>
</file>