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utes\AFC\"/>
    </mc:Choice>
  </mc:AlternateContent>
  <xr:revisionPtr revIDLastSave="0" documentId="8_{CF095964-2B06-427A-A925-F3F16AE80715}" xr6:coauthVersionLast="47" xr6:coauthVersionMax="47" xr10:uidLastSave="{00000000-0000-0000-0000-000000000000}"/>
  <bookViews>
    <workbookView xWindow="-120" yWindow="-120" windowWidth="20730" windowHeight="11160" xr2:uid="{0B742CFF-94FC-4BFD-A70E-022302BD2ACE}"/>
  </bookViews>
  <sheets>
    <sheet name="1.1 - 1.10" sheetId="1" r:id="rId1"/>
    <sheet name="Q2" sheetId="2" r:id="rId2"/>
    <sheet name="Q3" sheetId="3" r:id="rId3"/>
    <sheet name="Q4" sheetId="4" r:id="rId4"/>
    <sheet name="Q5" sheetId="5" r:id="rId5"/>
    <sheet name="Q6" sheetId="6" r:id="rId6"/>
    <sheet name="Q7" sheetId="7" r:id="rId7"/>
    <sheet name="Q7 Workings" sheetId="8" r:id="rId8"/>
  </sheets>
  <definedNames>
    <definedName name="_xlnm.Print_Area" localSheetId="0">'1.1 - 1.10'!$A$1:$M$152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0" i="1" l="1"/>
  <c r="G135" i="1"/>
  <c r="P38" i="7"/>
  <c r="O39" i="7"/>
  <c r="O38" i="7"/>
  <c r="O30" i="7"/>
  <c r="O21" i="7"/>
  <c r="O20" i="7"/>
  <c r="O11" i="7"/>
  <c r="N11" i="7"/>
  <c r="M11" i="7"/>
  <c r="O10" i="7"/>
  <c r="O9" i="7"/>
  <c r="O8" i="7"/>
  <c r="O7" i="7"/>
  <c r="O27" i="7"/>
  <c r="O50" i="7"/>
  <c r="O47" i="7"/>
  <c r="O48" i="7"/>
  <c r="N50" i="7"/>
  <c r="M50" i="7"/>
  <c r="L50" i="7"/>
  <c r="N47" i="7"/>
  <c r="H45" i="7"/>
  <c r="H40" i="7"/>
  <c r="H36" i="7"/>
  <c r="H27" i="7"/>
  <c r="H34" i="7"/>
  <c r="H31" i="7"/>
  <c r="H19" i="7"/>
  <c r="H10" i="7"/>
  <c r="H7" i="7"/>
  <c r="O46" i="7"/>
  <c r="E29" i="8"/>
  <c r="E27" i="8"/>
  <c r="E26" i="8"/>
  <c r="M9" i="7"/>
  <c r="N18" i="7"/>
  <c r="D49" i="8"/>
  <c r="L49" i="8"/>
  <c r="C55" i="8"/>
  <c r="C53" i="8"/>
  <c r="F37" i="4"/>
  <c r="H22" i="4"/>
  <c r="H20" i="4"/>
  <c r="Q13" i="6"/>
  <c r="Q14" i="6"/>
  <c r="F18" i="6"/>
  <c r="F24" i="6"/>
  <c r="M14" i="6"/>
  <c r="F22" i="6"/>
  <c r="AA12" i="6"/>
  <c r="W12" i="6"/>
  <c r="W11" i="6"/>
  <c r="G21" i="6"/>
  <c r="G24" i="6"/>
  <c r="F20" i="6"/>
  <c r="Q46" i="6"/>
  <c r="Q47" i="6"/>
  <c r="M47" i="6"/>
  <c r="Q34" i="6"/>
  <c r="Q35" i="6"/>
  <c r="M35" i="6"/>
  <c r="G19" i="6"/>
  <c r="M26" i="6"/>
  <c r="M27" i="6"/>
  <c r="Q27" i="6"/>
  <c r="P58" i="6"/>
  <c r="L62" i="6"/>
  <c r="L58" i="6"/>
  <c r="F79" i="5"/>
  <c r="J79" i="5"/>
  <c r="J71" i="5"/>
  <c r="F63" i="5"/>
  <c r="J63" i="5"/>
  <c r="J56" i="5"/>
  <c r="G33" i="5"/>
  <c r="L33" i="5"/>
  <c r="L32" i="5"/>
  <c r="L8" i="5"/>
  <c r="H44" i="5"/>
  <c r="I49" i="5"/>
  <c r="G8" i="5"/>
  <c r="H40" i="5"/>
  <c r="I40" i="5"/>
  <c r="G5" i="5"/>
  <c r="G16" i="5"/>
  <c r="L16" i="5"/>
  <c r="F42" i="4"/>
  <c r="F40" i="4"/>
  <c r="H19" i="4"/>
  <c r="F19" i="4"/>
  <c r="E19" i="4"/>
  <c r="H16" i="4"/>
  <c r="G16" i="4"/>
  <c r="F16" i="4"/>
  <c r="E16" i="4"/>
  <c r="G14" i="4"/>
  <c r="F14" i="4"/>
  <c r="E14" i="4"/>
  <c r="H12" i="4"/>
  <c r="G12" i="4"/>
  <c r="F12" i="4"/>
  <c r="E12" i="4"/>
  <c r="H10" i="4"/>
  <c r="G10" i="4"/>
  <c r="F10" i="4"/>
  <c r="E10" i="4"/>
  <c r="H8" i="4"/>
  <c r="G8" i="4"/>
  <c r="F8" i="4"/>
  <c r="E8" i="4"/>
  <c r="D6" i="4"/>
  <c r="D17" i="4"/>
  <c r="E46" i="3"/>
  <c r="E44" i="3"/>
  <c r="E43" i="3"/>
  <c r="E40" i="3"/>
  <c r="E39" i="3"/>
  <c r="E36" i="3"/>
  <c r="E35" i="3"/>
  <c r="K24" i="3"/>
  <c r="H26" i="3"/>
  <c r="F26" i="3"/>
  <c r="H25" i="3"/>
  <c r="H24" i="3"/>
  <c r="I22" i="3"/>
  <c r="K21" i="3"/>
  <c r="K20" i="3"/>
  <c r="K22" i="3"/>
  <c r="E20" i="3"/>
  <c r="K18" i="3"/>
  <c r="H18" i="3"/>
  <c r="F16" i="3"/>
  <c r="K12" i="3"/>
  <c r="I12" i="3"/>
  <c r="K14" i="3"/>
  <c r="H15" i="3"/>
  <c r="H14" i="3"/>
  <c r="H16" i="3"/>
  <c r="E10" i="3"/>
  <c r="K8" i="3"/>
  <c r="N25" i="2"/>
  <c r="M28" i="2"/>
  <c r="L28" i="2"/>
  <c r="N18" i="2"/>
  <c r="T18" i="2"/>
  <c r="T16" i="2"/>
  <c r="M18" i="2"/>
  <c r="S18" i="2"/>
  <c r="S17" i="2"/>
  <c r="F20" i="2"/>
  <c r="S15" i="2"/>
  <c r="F21" i="2"/>
  <c r="T15" i="2"/>
  <c r="O5" i="2"/>
  <c r="O6" i="2"/>
  <c r="O4" i="2"/>
  <c r="F19" i="2"/>
  <c r="G10" i="2"/>
  <c r="G16" i="2"/>
  <c r="G15" i="2"/>
  <c r="K6" i="2"/>
  <c r="K5" i="2"/>
  <c r="K4" i="2"/>
  <c r="R29" i="2"/>
  <c r="L29" i="2"/>
  <c r="H24" i="6"/>
  <c r="I51" i="5"/>
  <c r="L11" i="5"/>
  <c r="H17" i="4"/>
  <c r="G17" i="4"/>
  <c r="E17" i="4"/>
  <c r="F17" i="4"/>
  <c r="G21" i="2"/>
  <c r="G22" i="2"/>
  <c r="R15" i="2"/>
  <c r="S29" i="2"/>
  <c r="M29" i="2"/>
  <c r="E20" i="4"/>
  <c r="R18" i="2"/>
  <c r="L18" i="2"/>
  <c r="L17" i="2"/>
  <c r="G20" i="4"/>
  <c r="F20" i="4"/>
  <c r="T29" i="2"/>
  <c r="N29" i="2"/>
  <c r="G21" i="4"/>
  <c r="H21" i="4"/>
  <c r="H130" i="1"/>
  <c r="H124" i="1"/>
  <c r="O116" i="1"/>
  <c r="O117" i="1"/>
  <c r="F21" i="4"/>
  <c r="E21" i="4"/>
  <c r="G22" i="4"/>
  <c r="E22" i="4"/>
  <c r="F22" i="4"/>
  <c r="G23" i="4"/>
  <c r="F23" i="4"/>
  <c r="H23" i="4"/>
  <c r="E23" i="4"/>
  <c r="H24" i="4"/>
  <c r="F24" i="4"/>
  <c r="E24" i="4"/>
  <c r="G24" i="4"/>
  <c r="G25" i="4"/>
  <c r="F25" i="4"/>
  <c r="E25" i="4"/>
  <c r="H25" i="4"/>
  <c r="H26" i="4"/>
  <c r="F26" i="4"/>
  <c r="G26" i="4"/>
  <c r="G27" i="4"/>
  <c r="E26" i="4"/>
  <c r="H28" i="4"/>
  <c r="F27" i="4"/>
  <c r="F28" i="4"/>
  <c r="C42" i="4"/>
  <c r="C45" i="4"/>
  <c r="E27" i="4"/>
  <c r="E28" i="4"/>
  <c r="G28" i="4"/>
  <c r="C39" i="4"/>
  <c r="C36" i="4"/>
  <c r="O120" i="1"/>
  <c r="O114" i="1"/>
</calcChain>
</file>

<file path=xl/sharedStrings.xml><?xml version="1.0" encoding="utf-8"?>
<sst xmlns="http://schemas.openxmlformats.org/spreadsheetml/2006/main" count="453" uniqueCount="286">
  <si>
    <t xml:space="preserve">LKAS 16 ට අනුව , යම් දේපළ පිරියත උපකරනයක් මුල්‍ය ප්‍රකාශන තුල හදුනා ගැනීමට පහත සාධක දෙකම ඉටු විය යුතුය. </t>
  </si>
  <si>
    <t xml:space="preserve">1.එම දේ/පි/උ අයිතමය මගින් අනාගත ආර්ථික ප්‍රතිලාබ ගල ඒමේ භාවයතවක් පැවතිය යුතුය. </t>
  </si>
  <si>
    <t xml:space="preserve">2. පිරිවැය විශ්වාශවන්ත ලෙස මැනීමය හැකි විය යුතුය. </t>
  </si>
  <si>
    <t>ඒ අනුව පලවෙනි පිළිතුර නිවැරදි නොවේ.</t>
  </si>
  <si>
    <t>දේ/පි/උ අයිතමයක් පසුකාලින මිනුම් කරනය කිරීමට ප්‍රතයාගනන ආකෘතිය මෙන්ම පිරිවැය ආකෘතිය යොදා ගනු ලබයි.එම නිසා දෙවැනි පිලිතුරද නිවැරදි නොවේ.</t>
  </si>
  <si>
    <t>ක්ෂය ගණනය කිරීම සදහා LKAS 16 ප්‍රධන ක්‍රම තුනක් නිර්දේශ කරයි.ඒ නම් ,</t>
  </si>
  <si>
    <t xml:space="preserve">1. සරල මාර්ග ක්‍රමය </t>
  </si>
  <si>
    <t>2.හීනවන ක්ෂය ක්‍රමය.</t>
  </si>
  <si>
    <t>3.නිෂ්පාදන ඒකක ක්‍රමය.</t>
  </si>
  <si>
    <t>එම නිසා හතරවන පිලිතුරද නිවැරදි නොවේ.</t>
  </si>
  <si>
    <t>ප්‍රවර්තන වර්ෂයේ අදායම් බදු වෙන් කිරීම - රු. 250,000</t>
  </si>
  <si>
    <t>(+) ඌන අදායම් බදු -                                      රු. 50,000</t>
  </si>
  <si>
    <t>අදායම් බදු වියදම -                                         රු.300,000</t>
  </si>
  <si>
    <t xml:space="preserve">පෙර වැඩ 01 </t>
  </si>
  <si>
    <t>පෙර වර්ශය සදහා අදායම් බදු වෙන් කිරීම -රු.150,000</t>
  </si>
  <si>
    <t>සත්‍ය අදායම් බදු ගෙවීම - රු. 200,000</t>
  </si>
  <si>
    <t>ඒ අනුව, ඌන අදායම් බදු - රු.50,000</t>
  </si>
  <si>
    <t>LKAS 10 ට අනුව, a හා c යන අවස්ථාවන් දෙකම  නොගලපන සිදුවීම් වේ.</t>
  </si>
  <si>
    <t>අපේක්ෂිත නිෂ්පාදනය - 800 ( 40*20)                                                  ප්‍රසාද දීමන රේටය - 100 *150% - 150</t>
  </si>
  <si>
    <t xml:space="preserve">සත්‍ය නිෂ්පදනය- 860 </t>
  </si>
  <si>
    <t xml:space="preserve">වැඩිපුර කල නිෂ්පදනය - 60 ( 860-800) </t>
  </si>
  <si>
    <t>ඒ අනුව , ඉතුරු කල පැය ගණන , වැඩිපුර කල නිෂ්පාදනය / පැයක අපේක්ෂිත නිෂ්පාදනය.</t>
  </si>
  <si>
    <t xml:space="preserve">                                                       </t>
  </si>
  <si>
    <t xml:space="preserve">                                                       , 60/20</t>
  </si>
  <si>
    <t xml:space="preserve">                                                     </t>
  </si>
  <si>
    <t xml:space="preserve"> </t>
  </si>
  <si>
    <t>ඒ අනුව , ප්‍රසාද දීමනා = 3 * 150</t>
  </si>
  <si>
    <t xml:space="preserve">     </t>
  </si>
  <si>
    <t xml:space="preserve">                                      = 450</t>
  </si>
  <si>
    <t>මුලික වැටුප = 40 *100</t>
  </si>
  <si>
    <t xml:space="preserve">          </t>
  </si>
  <si>
    <t xml:space="preserve">                     = 4,000</t>
  </si>
  <si>
    <t xml:space="preserve">පැයක අන්තර්ගහන අනුපාතය - අයවැයගත පොදුකාර්ය පිරිවැය / අයවැයගත ශ්‍රම පැය </t>
  </si>
  <si>
    <t xml:space="preserve">                                                      - 500,000/125,000</t>
  </si>
  <si>
    <t xml:space="preserve">                                                      - රු.4</t>
  </si>
  <si>
    <t>අන්තර්ග්‍රහණය කල මුළු පොදුකාර්ය පිරිවැය - 175,000 * 4</t>
  </si>
  <si>
    <t>සත්‍ය පොදු කාර්ය පිරිවැය - රු.900,000</t>
  </si>
  <si>
    <t>ඒ අනුව , රු.200,000 ඌන අන්තර්ගහනයක් ( 900,000 - 700,000).</t>
  </si>
  <si>
    <t xml:space="preserve">නිවැරදි පිළිතුර - iii </t>
  </si>
  <si>
    <t xml:space="preserve">නිවැරදි පිළිතුර - iv </t>
  </si>
  <si>
    <t xml:space="preserve">නිවැරදි පිළිතුර - i </t>
  </si>
  <si>
    <t>1.5 -</t>
  </si>
  <si>
    <t xml:space="preserve"> නිවැරදි පිළිතුර - iii </t>
  </si>
  <si>
    <t>Economic Order Quantity = √(2SD/H)</t>
  </si>
  <si>
    <t xml:space="preserve">මුළු තොග ඇනවුම් කිරීමේ පිරිවැය </t>
  </si>
  <si>
    <t>=</t>
  </si>
  <si>
    <t xml:space="preserve">වාර්ෂික ඉල්ලුම </t>
  </si>
  <si>
    <t>EOQ</t>
  </si>
  <si>
    <t xml:space="preserve">* ඒකකයක ඇනවුම් කිරිමේ පිරිවැය </t>
  </si>
  <si>
    <t xml:space="preserve">මුළු තොග රදවා ගැනිමේ පිරිවැය </t>
  </si>
  <si>
    <t xml:space="preserve">EOQ/2* ඒකකයක් රදවා තබා ගනිමේ  පිරිවැය </t>
  </si>
  <si>
    <t>ඉල්ලුම</t>
  </si>
  <si>
    <t>CH</t>
  </si>
  <si>
    <t>CO</t>
  </si>
  <si>
    <t>ඒකක</t>
  </si>
  <si>
    <t>(1,000,000/1,000)*5</t>
  </si>
  <si>
    <t>1000/2*10</t>
  </si>
  <si>
    <t>මුළු මගී කිලෝමිටර්  ගණන =</t>
  </si>
  <si>
    <t>මගී කිලෝමිටර්යකට පිරිවැය =</t>
  </si>
  <si>
    <t>1.10</t>
  </si>
  <si>
    <t>ලාභය</t>
  </si>
  <si>
    <t>ප්‍රග්ධන පොලි</t>
  </si>
  <si>
    <t>ලාභ කොටස්</t>
  </si>
  <si>
    <t>වේතන</t>
  </si>
  <si>
    <t>(-)</t>
  </si>
  <si>
    <t>N</t>
  </si>
  <si>
    <t>Y</t>
  </si>
  <si>
    <t>ජංගම ගිණුම</t>
  </si>
  <si>
    <t>ශේෂය</t>
  </si>
  <si>
    <t>ගැනිලි</t>
  </si>
  <si>
    <t>ප්‍රාග්ධන පොලි</t>
  </si>
  <si>
    <t>ප්‍රාග්ධන ගිණුම</t>
  </si>
  <si>
    <t>බෙදිය හැකි ලාභය</t>
  </si>
  <si>
    <t>කිර්ති නාම ගැලපිම්</t>
  </si>
  <si>
    <t xml:space="preserve"> ණය </t>
  </si>
  <si>
    <t>S</t>
  </si>
  <si>
    <t>A)</t>
  </si>
  <si>
    <t xml:space="preserve">දිනය </t>
  </si>
  <si>
    <t xml:space="preserve">ලැබීම් </t>
  </si>
  <si>
    <t xml:space="preserve">ශේෂය </t>
  </si>
  <si>
    <t xml:space="preserve">ඒකක ගණන </t>
  </si>
  <si>
    <t xml:space="preserve">ඒකකයක මිල </t>
  </si>
  <si>
    <t>මුළු වටිනාකම</t>
  </si>
  <si>
    <t>03/01</t>
  </si>
  <si>
    <t>03/12</t>
  </si>
  <si>
    <t xml:space="preserve">නිකුත් කිරීම් </t>
  </si>
  <si>
    <t>03/18</t>
  </si>
  <si>
    <t>03/22</t>
  </si>
  <si>
    <t>03/28</t>
  </si>
  <si>
    <t>B)</t>
  </si>
  <si>
    <t>ද්‍රව්‍ය පිරිවැය</t>
  </si>
  <si>
    <t>ඍජු ශ්‍රම පිරිවැය</t>
  </si>
  <si>
    <t>X</t>
  </si>
  <si>
    <t>10*100</t>
  </si>
  <si>
    <t>12*120</t>
  </si>
  <si>
    <t>විචල්‍ය පොදුකාර්ය</t>
  </si>
  <si>
    <t>(20000/500)*100</t>
  </si>
  <si>
    <t>(28000/400)*120</t>
  </si>
  <si>
    <t>ස්ථාවර පොදුකාර්ය</t>
  </si>
  <si>
    <t>(78000/5000)*100</t>
  </si>
  <si>
    <t>(78000/5000)*120</t>
  </si>
  <si>
    <t xml:space="preserve">විස්තරය </t>
  </si>
  <si>
    <t xml:space="preserve">පදනම </t>
  </si>
  <si>
    <t xml:space="preserve">එකතුව </t>
  </si>
  <si>
    <t>නිෂ්පාදන අංශ</t>
  </si>
  <si>
    <t>කැපීම්</t>
  </si>
  <si>
    <t>මැහුම්</t>
  </si>
  <si>
    <t>සේවා අංශ</t>
  </si>
  <si>
    <t>ගබඩා</t>
  </si>
  <si>
    <t>නඩත්තු</t>
  </si>
  <si>
    <t xml:space="preserve">වක්‍ර පිරිවැය </t>
  </si>
  <si>
    <t>ඍජු</t>
  </si>
  <si>
    <t>විදුලි හා  ආලෝක</t>
  </si>
  <si>
    <t>බිම් ප්‍රමාණය ( 104:84:52:2)</t>
  </si>
  <si>
    <t>ආරක්ෂක ගාස්තු</t>
  </si>
  <si>
    <t>සේවක සංක්‍යාව ( 100:50:20:5)</t>
  </si>
  <si>
    <t xml:space="preserve">ගොඩනැගිලි  කුලී </t>
  </si>
  <si>
    <r>
      <t>යන්ත්‍ර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Iskoola Pota"/>
        <family val="2"/>
      </rPr>
      <t>රක්ෂණ</t>
    </r>
    <r>
      <rPr>
        <sz val="12"/>
        <color theme="1"/>
        <rFont val="Calibri"/>
        <family val="2"/>
        <scheme val="minor"/>
      </rPr>
      <t xml:space="preserve"> </t>
    </r>
  </si>
  <si>
    <t>යන්ත්‍ර පිරිවැය (10:5:2)</t>
  </si>
  <si>
    <t>සුපරික්ෂන ගාස්තු</t>
  </si>
  <si>
    <t>ද්විතික විභජනය  - 60% , 30% , 10%</t>
  </si>
  <si>
    <t>ද්විතික විභජනය  - 40% , 40% , 20%</t>
  </si>
  <si>
    <t>මුළු පොදුකාර්ය පිරිවැය</t>
  </si>
  <si>
    <t>අයවයගත පොදුකාර්ය පිරිවැය</t>
  </si>
  <si>
    <t xml:space="preserve">අන්තර්ගහන අනුපාතය. = </t>
  </si>
  <si>
    <r>
      <t>අයවයගත ඍජු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Iskoola Pota"/>
        <family val="2"/>
      </rPr>
      <t>ශ්‍රම පැය</t>
    </r>
  </si>
  <si>
    <t xml:space="preserve">කැපීම් = </t>
  </si>
  <si>
    <t>මැහුම් =</t>
  </si>
  <si>
    <t>මුහුණු  ආවරණයක පිරිවැය</t>
  </si>
  <si>
    <t>පොදුකාර්ය පිරිවැය</t>
  </si>
  <si>
    <t>28.10*0.5</t>
  </si>
  <si>
    <t>8.19*1</t>
  </si>
  <si>
    <t>1.</t>
  </si>
  <si>
    <t>සාමාජික මුදල් ගිණුම</t>
  </si>
  <si>
    <t xml:space="preserve">ශේ/ඉ/ගෙ </t>
  </si>
  <si>
    <t xml:space="preserve">ශේ/ප/ගෙ </t>
  </si>
  <si>
    <t>(ඉදිරියට ගෙවූ)</t>
  </si>
  <si>
    <t>(හිග)</t>
  </si>
  <si>
    <t>ලැබීම් හා ගෙවීම් ගිණුම</t>
  </si>
  <si>
    <t xml:space="preserve">අදායම් හා වියදම් ප්‍රකාශනය </t>
  </si>
  <si>
    <t>අදායම්</t>
  </si>
  <si>
    <t>වියදම්</t>
  </si>
  <si>
    <t>සාමාජික අදායම්</t>
  </si>
  <si>
    <t>(400*1000)</t>
  </si>
  <si>
    <t>කපා හැරීම්</t>
  </si>
  <si>
    <t>(5*1000)</t>
  </si>
  <si>
    <t>මුදල්</t>
  </si>
  <si>
    <t>ලිපි ද්‍රව්‍ය</t>
  </si>
  <si>
    <t>ක්‍රීඩා උපකරණ</t>
  </si>
  <si>
    <t>වැටුප්</t>
  </si>
  <si>
    <t xml:space="preserve">ප්‍රචරනය </t>
  </si>
  <si>
    <t>උපචිත විදුලිය</t>
  </si>
  <si>
    <t>සාමාජික මුදල්</t>
  </si>
  <si>
    <t>ක්ෂය</t>
  </si>
  <si>
    <t>විදුලි ගාස්තු</t>
  </si>
  <si>
    <t>විදුලිය</t>
  </si>
  <si>
    <t xml:space="preserve">අතිරික්තය </t>
  </si>
  <si>
    <t>ශේෂ පිරික්සුම</t>
  </si>
  <si>
    <t>මුදල් ගිණුම</t>
  </si>
  <si>
    <t>ප්‍රග්දනය</t>
  </si>
  <si>
    <t>ප්‍රග්දන ගිණුම</t>
  </si>
  <si>
    <t>මෝටර් රථ ගිණුම</t>
  </si>
  <si>
    <t>ඉන්ධන</t>
  </si>
  <si>
    <t>ඉන්ධන වියදම් ගිණුම</t>
  </si>
  <si>
    <t>ප්‍රචාරණ</t>
  </si>
  <si>
    <t xml:space="preserve">විකුණුම් ගිණුම </t>
  </si>
  <si>
    <t xml:space="preserve">ලිපි ද්‍රව්‍ය </t>
  </si>
  <si>
    <t xml:space="preserve">විෂබීජ නාශක </t>
  </si>
  <si>
    <t>වැටුප</t>
  </si>
  <si>
    <t>ප්‍රචාරණ වියදම්</t>
  </si>
  <si>
    <t>විදුලි වියදම</t>
  </si>
  <si>
    <t>ජල වියදම</t>
  </si>
  <si>
    <t>කුලී වියදම</t>
  </si>
  <si>
    <t>ගෙවිය යුතු විදුලි වියදම</t>
  </si>
  <si>
    <t>ගෙවිය යුතු ජල වියදම</t>
  </si>
  <si>
    <t xml:space="preserve">ක්ෂය ගණනය කිරීම </t>
  </si>
  <si>
    <t xml:space="preserve">මෝටර් රථ පිරිවැය </t>
  </si>
  <si>
    <t>ඵල්‍දායි ජීව කාල්‍ය</t>
  </si>
  <si>
    <t xml:space="preserve">වාර්ෂික ක්ෂය </t>
  </si>
  <si>
    <t>අතගෝස්තු මාසය සදහා</t>
  </si>
  <si>
    <t>200,000/12</t>
  </si>
  <si>
    <t xml:space="preserve">ගැනිලි </t>
  </si>
  <si>
    <t xml:space="preserve">ණය ගිණුම </t>
  </si>
  <si>
    <t xml:space="preserve">නය පොලි ගණනය කිරීම </t>
  </si>
  <si>
    <t>නය</t>
  </si>
  <si>
    <t xml:space="preserve">පොලි ප්‍රතිසතය </t>
  </si>
  <si>
    <t>පොලි</t>
  </si>
  <si>
    <t>ගෙවිය යුතු පොලි</t>
  </si>
  <si>
    <t xml:space="preserve">විස්තීරණ අදායම් ප්‍රකාශනය </t>
  </si>
  <si>
    <t>රු.000</t>
  </si>
  <si>
    <t xml:space="preserve">මුල්‍ය තත්ත්ව ප්‍රකාශනය </t>
  </si>
  <si>
    <t>විකුණුම්</t>
  </si>
  <si>
    <t>වත්කම්</t>
  </si>
  <si>
    <t>පිරිවැය</t>
  </si>
  <si>
    <t>ස.ක්ෂය</t>
  </si>
  <si>
    <t>ධාරණ අගය</t>
  </si>
  <si>
    <t>( - ) විකුණුම් පිරිවැය</t>
  </si>
  <si>
    <t>ජංගම නොවන වත්කම්</t>
  </si>
  <si>
    <t>දළ ලාභය</t>
  </si>
  <si>
    <t>ඉඩම්</t>
  </si>
  <si>
    <t>ගොඩනැගිලි</t>
  </si>
  <si>
    <t>(+)වෙනත් ආදායම්</t>
  </si>
  <si>
    <t>මෝටර් රථ</t>
  </si>
  <si>
    <t>උපකරණ</t>
  </si>
  <si>
    <t xml:space="preserve">විකිනිමේ හා බෙදාහැරිම් </t>
  </si>
  <si>
    <t>බොල් ණය</t>
  </si>
  <si>
    <t>වාහන ක්ෂය</t>
  </si>
  <si>
    <t>ජංගම වත්කම්</t>
  </si>
  <si>
    <t>අඩමාන ණය</t>
  </si>
  <si>
    <t>භාණ්ඩ තොග</t>
  </si>
  <si>
    <t>කොමිස්</t>
  </si>
  <si>
    <t>ණය ගැති</t>
  </si>
  <si>
    <t>ආයතන හා පරිපාලන</t>
  </si>
  <si>
    <t>කුලි</t>
  </si>
  <si>
    <t xml:space="preserve">ස්කන්ධය හා වගකිම් </t>
  </si>
  <si>
    <t>ප්‍රකාශිත ප්‍රාග්ධනය</t>
  </si>
  <si>
    <t>දුරකථන වියදම්</t>
  </si>
  <si>
    <t>රඳවාගත් ඉපැයුම්</t>
  </si>
  <si>
    <t>විදුලි</t>
  </si>
  <si>
    <t>පොදු සංචිත</t>
  </si>
  <si>
    <t xml:space="preserve"> ජංගම නොවන වගකිම්</t>
  </si>
  <si>
    <t>මුල්‍ය</t>
  </si>
  <si>
    <t xml:space="preserve"> ණය 12%</t>
  </si>
  <si>
    <t>වගකිම්</t>
  </si>
  <si>
    <t xml:space="preserve">වෙනත් වියදම් </t>
  </si>
  <si>
    <t>ණය හිමි</t>
  </si>
  <si>
    <t xml:space="preserve">තොග කපාහැරීම </t>
  </si>
  <si>
    <t>‍ග‍ෙවිය යුතු බදු</t>
  </si>
  <si>
    <t>වගකිම් සඳහා වෙන් කිරිම්</t>
  </si>
  <si>
    <t>බදු පරෙ ලාභය</t>
  </si>
  <si>
    <t>‍ග‍ෙවිය යුතු පොලි</t>
  </si>
  <si>
    <t>‍ග‍ෙවිය යුතු කුලි</t>
  </si>
  <si>
    <t>(-)බදු වියදම</t>
  </si>
  <si>
    <t>‍ග‍ෙවිය යුතු  විදුලිය</t>
  </si>
  <si>
    <t>බදු පසු ලාභය</t>
  </si>
  <si>
    <t>වෙනත් විස්තීිරණ ආදායම්</t>
  </si>
  <si>
    <t xml:space="preserve">හිමිකම් වෙනස් විමේ ප්‍රකාශනය </t>
  </si>
  <si>
    <t>මුළු විස්තීරණ ආදායම</t>
  </si>
  <si>
    <t xml:space="preserve">ආරම්භක ශේෂය </t>
  </si>
  <si>
    <t>(+)ලාභය</t>
  </si>
  <si>
    <t xml:space="preserve">(-) පොදු සංචිත මාරු කිරීම් </t>
  </si>
  <si>
    <t xml:space="preserve">අවසාන ශේෂය </t>
  </si>
  <si>
    <t>දේපල පිරියත උපකරණ ප්‍රකාශනය</t>
  </si>
  <si>
    <t>එකතුව</t>
  </si>
  <si>
    <t>0401 ශේෂය</t>
  </si>
  <si>
    <t>එකතු කිරිම්</t>
  </si>
  <si>
    <t xml:space="preserve">ඉවත් කිරිම් </t>
  </si>
  <si>
    <t>ඉවත් කිරිම් ගිණුම</t>
  </si>
  <si>
    <t xml:space="preserve">ඉවත් කරන වත්කමේ ක්ෂය ගණනය කිරීම. </t>
  </si>
  <si>
    <t>ක්ෂය ගණනය කිරීම</t>
  </si>
  <si>
    <t xml:space="preserve">පිරිවැය  </t>
  </si>
  <si>
    <t xml:space="preserve">ඉවත් කරන දිනට ක්ෂය </t>
  </si>
  <si>
    <t xml:space="preserve">වගකීම් සහතික ප්‍රතිපාදන වෙන් කිරීම් </t>
  </si>
  <si>
    <t xml:space="preserve">අඩමාන නය වෙන් කිරීම් </t>
  </si>
  <si>
    <t xml:space="preserve">කුලී වියදම් </t>
  </si>
  <si>
    <t>2018.04.01-2019.03.31</t>
  </si>
  <si>
    <t>12 M</t>
  </si>
  <si>
    <t xml:space="preserve">වියදම </t>
  </si>
  <si>
    <t>50*12</t>
  </si>
  <si>
    <t xml:space="preserve">(-) ගෙවූ වටිනාකම </t>
  </si>
  <si>
    <t xml:space="preserve">ගෙවිය යුතු වටිනාකම </t>
  </si>
  <si>
    <t xml:space="preserve">බැංකු නය පොලි </t>
  </si>
  <si>
    <t xml:space="preserve">වාර්ෂික පොලිය </t>
  </si>
  <si>
    <t>4000*12%</t>
  </si>
  <si>
    <t xml:space="preserve">මාසික පොලිය </t>
  </si>
  <si>
    <t>480/12</t>
  </si>
  <si>
    <t xml:space="preserve">සිමා සහිත සම්පත් සමාගම </t>
  </si>
  <si>
    <t>2021.03.31 දිනෙන් අවසන් වර්ෂය සඳහා</t>
  </si>
  <si>
    <t>2021.03.31 දිනට</t>
  </si>
  <si>
    <t>අලුත් වැඩියා හා නඩත්තු</t>
  </si>
  <si>
    <t>බැංකු ගාස්තු</t>
  </si>
  <si>
    <r>
      <t>ලාභ</t>
    </r>
    <r>
      <rPr>
        <sz val="12"/>
        <rFont val="Calibri"/>
        <family val="2"/>
        <scheme val="minor"/>
      </rPr>
      <t>'</t>
    </r>
    <r>
      <rPr>
        <sz val="12"/>
        <rFont val="Iskoola Pota"/>
        <family val="2"/>
      </rPr>
      <t>ලාභ විශර්ජන ප්‍රකාශනය</t>
    </r>
  </si>
  <si>
    <r>
      <t>ඍජු</t>
    </r>
    <r>
      <rPr>
        <sz val="12"/>
        <rFont val="Calibri"/>
        <family val="2"/>
        <scheme val="minor"/>
      </rPr>
      <t xml:space="preserve"> </t>
    </r>
    <r>
      <rPr>
        <sz val="12"/>
        <rFont val="Iskoola Pota"/>
        <family val="2"/>
      </rPr>
      <t xml:space="preserve">  ද්‍රව්‍ය</t>
    </r>
    <r>
      <rPr>
        <sz val="12"/>
        <rFont val="Calibri"/>
        <family val="2"/>
        <scheme val="minor"/>
      </rPr>
      <t xml:space="preserve"> </t>
    </r>
  </si>
  <si>
    <r>
      <t>ඍජු</t>
    </r>
    <r>
      <rPr>
        <sz val="12"/>
        <rFont val="Calibri"/>
        <family val="2"/>
        <scheme val="minor"/>
      </rPr>
      <t xml:space="preserve"> </t>
    </r>
    <r>
      <rPr>
        <sz val="12"/>
        <rFont val="Iskoola Pota"/>
        <family val="2"/>
      </rPr>
      <t>ශ්‍රම</t>
    </r>
    <r>
      <rPr>
        <sz val="12"/>
        <rFont val="Calibri"/>
        <family val="2"/>
        <scheme val="minor"/>
      </rPr>
      <t xml:space="preserve"> </t>
    </r>
  </si>
  <si>
    <t xml:space="preserve">2021.03.31 දිනට </t>
  </si>
  <si>
    <t>5000-500</t>
  </si>
  <si>
    <t>4500-450</t>
  </si>
  <si>
    <t>25000+2000</t>
  </si>
  <si>
    <t>50,000/10</t>
  </si>
  <si>
    <t>18000/4</t>
  </si>
  <si>
    <t>10700+2500</t>
  </si>
  <si>
    <t>8000+200</t>
  </si>
  <si>
    <t>1500-150</t>
  </si>
  <si>
    <t xml:space="preserve"> ණයකර 10%</t>
  </si>
  <si>
    <t>(30*200*55)*90%</t>
  </si>
  <si>
    <t>1560000/297000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</si>
</sst>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Iskoola Pota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Accounting"/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Iskoola Pota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7">
    <xf numFmtId="0" fontId="0" fillId="0" borderId="0" xfId="0"/>
    <xf numFmtId="0" fontId="3" fillId="0" borderId="0" xfId="0" applyFont="1"/>
    <xf numFmtId="0" fontId="0" fillId="0" borderId="1" xfId="0" applyBorder="1"/>
    <xf numFmtId="3" fontId="0" fillId="0" borderId="0" xfId="0" applyNumberFormat="1"/>
    <xf numFmtId="0" fontId="0" fillId="2" borderId="0" xfId="0" applyFill="1"/>
    <xf numFmtId="0" fontId="2" fillId="0" borderId="0" xfId="0" applyFont="1" applyAlignment="1">
      <alignment horizontal="left" vertical="center" indent="1"/>
    </xf>
    <xf numFmtId="43" fontId="0" fillId="0" borderId="0" xfId="1" applyFont="1"/>
    <xf numFmtId="43" fontId="0" fillId="0" borderId="0" xfId="0" applyNumberFormat="1"/>
    <xf numFmtId="0" fontId="0" fillId="0" borderId="2" xfId="0" applyBorder="1"/>
    <xf numFmtId="43" fontId="0" fillId="0" borderId="2" xfId="1" applyFont="1" applyBorder="1"/>
    <xf numFmtId="0" fontId="0" fillId="0" borderId="0" xfId="0" quotePrefix="1"/>
    <xf numFmtId="164" fontId="0" fillId="0" borderId="0" xfId="1" applyNumberFormat="1" applyFont="1"/>
    <xf numFmtId="13" fontId="0" fillId="0" borderId="0" xfId="1" applyNumberFormat="1" applyFont="1"/>
    <xf numFmtId="43" fontId="0" fillId="0" borderId="0" xfId="1" quotePrefix="1" applyFont="1"/>
    <xf numFmtId="0" fontId="5" fillId="0" borderId="0" xfId="0" applyFont="1"/>
    <xf numFmtId="2" fontId="0" fillId="0" borderId="0" xfId="0" applyNumberFormat="1"/>
    <xf numFmtId="0" fontId="0" fillId="2" borderId="0" xfId="0" quotePrefix="1" applyFill="1"/>
    <xf numFmtId="164" fontId="4" fillId="0" borderId="2" xfId="1" applyNumberFormat="1" applyFont="1" applyBorder="1"/>
    <xf numFmtId="0" fontId="0" fillId="0" borderId="3" xfId="0" applyBorder="1"/>
    <xf numFmtId="0" fontId="0" fillId="0" borderId="4" xfId="0" applyBorder="1"/>
    <xf numFmtId="164" fontId="6" fillId="0" borderId="4" xfId="1" applyNumberFormat="1" applyFont="1" applyBorder="1"/>
    <xf numFmtId="0" fontId="6" fillId="2" borderId="0" xfId="0" applyFont="1" applyFill="1"/>
    <xf numFmtId="164" fontId="4" fillId="0" borderId="3" xfId="1" applyNumberFormat="1" applyFont="1" applyBorder="1"/>
    <xf numFmtId="0" fontId="6" fillId="0" borderId="0" xfId="0" quotePrefix="1" applyFont="1"/>
    <xf numFmtId="0" fontId="6" fillId="0" borderId="0" xfId="0" applyFont="1"/>
    <xf numFmtId="164" fontId="6" fillId="0" borderId="0" xfId="1" applyNumberFormat="1" applyFont="1"/>
    <xf numFmtId="164" fontId="4" fillId="0" borderId="0" xfId="1" applyNumberFormat="1" applyFont="1"/>
    <xf numFmtId="164" fontId="6" fillId="0" borderId="3" xfId="1" applyNumberFormat="1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164" fontId="6" fillId="0" borderId="10" xfId="1" applyNumberFormat="1" applyFont="1" applyBorder="1"/>
    <xf numFmtId="164" fontId="6" fillId="0" borderId="0" xfId="1" applyNumberFormat="1" applyFont="1" applyBorder="1"/>
    <xf numFmtId="0" fontId="6" fillId="0" borderId="10" xfId="0" applyFont="1" applyBorder="1"/>
    <xf numFmtId="0" fontId="4" fillId="0" borderId="10" xfId="0" applyFont="1" applyBorder="1"/>
    <xf numFmtId="164" fontId="6" fillId="0" borderId="11" xfId="1" applyNumberFormat="1" applyFont="1" applyBorder="1"/>
    <xf numFmtId="164" fontId="6" fillId="0" borderId="10" xfId="0" applyNumberFormat="1" applyFont="1" applyBorder="1"/>
    <xf numFmtId="164" fontId="6" fillId="3" borderId="3" xfId="1" applyNumberFormat="1" applyFont="1" applyFill="1" applyBorder="1"/>
    <xf numFmtId="164" fontId="6" fillId="0" borderId="12" xfId="0" applyNumberFormat="1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6" fillId="0" borderId="9" xfId="0" applyFont="1" applyBorder="1"/>
    <xf numFmtId="0" fontId="6" fillId="0" borderId="3" xfId="0" applyFont="1" applyBorder="1"/>
    <xf numFmtId="164" fontId="0" fillId="0" borderId="9" xfId="1" applyNumberFormat="1" applyFont="1" applyBorder="1"/>
    <xf numFmtId="43" fontId="6" fillId="0" borderId="10" xfId="1" applyFont="1" applyBorder="1"/>
    <xf numFmtId="164" fontId="6" fillId="0" borderId="3" xfId="0" applyNumberFormat="1" applyFont="1" applyBorder="1"/>
    <xf numFmtId="0" fontId="6" fillId="0" borderId="12" xfId="0" applyFont="1" applyBorder="1"/>
    <xf numFmtId="164" fontId="6" fillId="0" borderId="0" xfId="1" applyNumberFormat="1" applyFont="1" applyFill="1"/>
    <xf numFmtId="164" fontId="6" fillId="0" borderId="0" xfId="0" applyNumberFormat="1" applyFont="1"/>
    <xf numFmtId="164" fontId="6" fillId="3" borderId="12" xfId="1" applyNumberFormat="1" applyFont="1" applyFill="1" applyBorder="1"/>
    <xf numFmtId="16" fontId="0" fillId="0" borderId="7" xfId="0" quotePrefix="1" applyNumberFormat="1" applyBorder="1"/>
    <xf numFmtId="0" fontId="0" fillId="0" borderId="7" xfId="0" quotePrefix="1" applyBorder="1"/>
    <xf numFmtId="43" fontId="0" fillId="0" borderId="7" xfId="1" applyFont="1" applyBorder="1"/>
    <xf numFmtId="43" fontId="0" fillId="0" borderId="7" xfId="0" applyNumberFormat="1" applyBorder="1"/>
    <xf numFmtId="43" fontId="0" fillId="0" borderId="15" xfId="1" applyFont="1" applyBorder="1"/>
    <xf numFmtId="0" fontId="0" fillId="0" borderId="12" xfId="0" applyBorder="1"/>
    <xf numFmtId="43" fontId="0" fillId="0" borderId="12" xfId="1" applyFont="1" applyBorder="1"/>
    <xf numFmtId="43" fontId="0" fillId="0" borderId="12" xfId="0" applyNumberFormat="1" applyBorder="1"/>
    <xf numFmtId="43" fontId="0" fillId="2" borderId="15" xfId="1" applyFont="1" applyFill="1" applyBorder="1"/>
    <xf numFmtId="43" fontId="0" fillId="3" borderId="1" xfId="1" applyFont="1" applyFill="1" applyBorder="1"/>
    <xf numFmtId="0" fontId="5" fillId="0" borderId="7" xfId="0" applyFont="1" applyBorder="1"/>
    <xf numFmtId="164" fontId="5" fillId="0" borderId="0" xfId="1" applyNumberFormat="1" applyFont="1"/>
    <xf numFmtId="164" fontId="5" fillId="0" borderId="7" xfId="1" applyNumberFormat="1" applyFont="1" applyBorder="1"/>
    <xf numFmtId="164" fontId="0" fillId="0" borderId="7" xfId="1" applyNumberFormat="1" applyFont="1" applyBorder="1"/>
    <xf numFmtId="0" fontId="5" fillId="0" borderId="0" xfId="0" applyFont="1" applyAlignment="1">
      <alignment vertical="center"/>
    </xf>
    <xf numFmtId="164" fontId="0" fillId="0" borderId="15" xfId="1" applyNumberFormat="1" applyFont="1" applyBorder="1"/>
    <xf numFmtId="164" fontId="0" fillId="0" borderId="19" xfId="1" applyNumberFormat="1" applyFont="1" applyBorder="1"/>
    <xf numFmtId="0" fontId="0" fillId="0" borderId="20" xfId="0" applyBorder="1"/>
    <xf numFmtId="0" fontId="0" fillId="0" borderId="0" xfId="0" quotePrefix="1" applyAlignment="1">
      <alignment horizontal="right"/>
    </xf>
    <xf numFmtId="164" fontId="5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5" fillId="2" borderId="0" xfId="0" applyFont="1" applyFill="1"/>
    <xf numFmtId="164" fontId="0" fillId="2" borderId="0" xfId="1" applyNumberFormat="1" applyFont="1" applyFill="1"/>
    <xf numFmtId="164" fontId="0" fillId="0" borderId="0" xfId="1" quotePrefix="1" applyNumberFormat="1" applyFont="1"/>
    <xf numFmtId="164" fontId="0" fillId="0" borderId="4" xfId="1" applyNumberFormat="1" applyFont="1" applyBorder="1"/>
    <xf numFmtId="164" fontId="0" fillId="0" borderId="3" xfId="1" applyNumberFormat="1" applyFont="1" applyBorder="1"/>
    <xf numFmtId="164" fontId="0" fillId="0" borderId="21" xfId="1" applyNumberFormat="1" applyFont="1" applyBorder="1"/>
    <xf numFmtId="164" fontId="0" fillId="0" borderId="6" xfId="1" applyNumberFormat="1" applyFont="1" applyBorder="1"/>
    <xf numFmtId="164" fontId="0" fillId="0" borderId="1" xfId="1" applyNumberFormat="1" applyFont="1" applyBorder="1"/>
    <xf numFmtId="164" fontId="0" fillId="0" borderId="2" xfId="1" applyNumberFormat="1" applyFont="1" applyBorder="1"/>
    <xf numFmtId="164" fontId="0" fillId="0" borderId="0" xfId="1" applyNumberFormat="1" applyFont="1" applyBorder="1"/>
    <xf numFmtId="0" fontId="0" fillId="0" borderId="22" xfId="0" applyBorder="1"/>
    <xf numFmtId="164" fontId="0" fillId="0" borderId="10" xfId="0" applyNumberFormat="1" applyBorder="1"/>
    <xf numFmtId="0" fontId="5" fillId="0" borderId="9" xfId="0" applyFont="1" applyBorder="1"/>
    <xf numFmtId="0" fontId="0" fillId="0" borderId="23" xfId="0" applyBorder="1"/>
    <xf numFmtId="164" fontId="0" fillId="3" borderId="0" xfId="1" applyNumberFormat="1" applyFont="1" applyFill="1"/>
    <xf numFmtId="164" fontId="5" fillId="0" borderId="5" xfId="1" applyNumberFormat="1" applyFont="1" applyBorder="1"/>
    <xf numFmtId="164" fontId="0" fillId="0" borderId="18" xfId="1" applyNumberFormat="1" applyFont="1" applyBorder="1"/>
    <xf numFmtId="164" fontId="0" fillId="0" borderId="10" xfId="1" applyNumberFormat="1" applyFont="1" applyBorder="1"/>
    <xf numFmtId="164" fontId="0" fillId="0" borderId="21" xfId="0" applyNumberFormat="1" applyBorder="1"/>
    <xf numFmtId="164" fontId="0" fillId="0" borderId="1" xfId="0" applyNumberFormat="1" applyBorder="1"/>
    <xf numFmtId="164" fontId="0" fillId="0" borderId="6" xfId="0" applyNumberFormat="1" applyBorder="1"/>
    <xf numFmtId="164" fontId="0" fillId="0" borderId="11" xfId="1" applyNumberFormat="1" applyFont="1" applyBorder="1"/>
    <xf numFmtId="164" fontId="0" fillId="0" borderId="24" xfId="0" applyNumberFormat="1" applyBorder="1"/>
    <xf numFmtId="164" fontId="0" fillId="3" borderId="12" xfId="0" applyNumberFormat="1" applyFill="1" applyBorder="1"/>
    <xf numFmtId="0" fontId="5" fillId="0" borderId="6" xfId="0" applyFont="1" applyBorder="1"/>
    <xf numFmtId="164" fontId="5" fillId="0" borderId="0" xfId="1" applyNumberFormat="1" applyFont="1" applyBorder="1"/>
    <xf numFmtId="164" fontId="0" fillId="0" borderId="14" xfId="1" applyNumberFormat="1" applyFont="1" applyBorder="1"/>
    <xf numFmtId="164" fontId="4" fillId="0" borderId="10" xfId="1" applyNumberFormat="1" applyFont="1" applyBorder="1"/>
    <xf numFmtId="0" fontId="0" fillId="3" borderId="0" xfId="0" applyFill="1"/>
    <xf numFmtId="43" fontId="0" fillId="0" borderId="0" xfId="1" applyFont="1" applyBorder="1"/>
    <xf numFmtId="0" fontId="0" fillId="0" borderId="0" xfId="0" applyAlignment="1">
      <alignment horizontal="center"/>
    </xf>
    <xf numFmtId="164" fontId="0" fillId="2" borderId="0" xfId="1" applyNumberFormat="1" applyFont="1" applyFill="1" applyBorder="1"/>
    <xf numFmtId="9" fontId="0" fillId="0" borderId="0" xfId="0" applyNumberFormat="1"/>
    <xf numFmtId="164" fontId="5" fillId="0" borderId="9" xfId="1" applyNumberFormat="1" applyFont="1" applyBorder="1"/>
    <xf numFmtId="164" fontId="0" fillId="0" borderId="3" xfId="0" applyNumberFormat="1" applyBorder="1"/>
    <xf numFmtId="164" fontId="0" fillId="0" borderId="0" xfId="0" applyNumberFormat="1"/>
    <xf numFmtId="164" fontId="8" fillId="0" borderId="6" xfId="1" applyNumberFormat="1" applyFont="1" applyBorder="1"/>
    <xf numFmtId="164" fontId="8" fillId="0" borderId="0" xfId="1" applyNumberFormat="1" applyFont="1"/>
    <xf numFmtId="164" fontId="8" fillId="0" borderId="3" xfId="1" applyNumberFormat="1" applyFont="1" applyBorder="1"/>
    <xf numFmtId="164" fontId="8" fillId="0" borderId="4" xfId="1" applyNumberFormat="1" applyFont="1" applyBorder="1"/>
    <xf numFmtId="164" fontId="4" fillId="0" borderId="0" xfId="1" applyNumberFormat="1" applyFont="1" applyBorder="1"/>
    <xf numFmtId="164" fontId="4" fillId="0" borderId="9" xfId="1" applyNumberFormat="1" applyFont="1" applyBorder="1"/>
    <xf numFmtId="43" fontId="4" fillId="0" borderId="10" xfId="1" applyFont="1" applyBorder="1"/>
    <xf numFmtId="0" fontId="4" fillId="0" borderId="15" xfId="0" applyFont="1" applyBorder="1"/>
    <xf numFmtId="43" fontId="6" fillId="0" borderId="0" xfId="1" applyFont="1"/>
    <xf numFmtId="0" fontId="6" fillId="0" borderId="2" xfId="0" applyFont="1" applyBorder="1"/>
    <xf numFmtId="0" fontId="6" fillId="0" borderId="13" xfId="0" applyFont="1" applyBorder="1"/>
    <xf numFmtId="164" fontId="6" fillId="0" borderId="2" xfId="1" applyNumberFormat="1" applyFont="1" applyBorder="1"/>
    <xf numFmtId="43" fontId="6" fillId="0" borderId="0" xfId="0" applyNumberFormat="1" applyFont="1"/>
    <xf numFmtId="0" fontId="6" fillId="0" borderId="6" xfId="0" applyFont="1" applyBorder="1"/>
    <xf numFmtId="0" fontId="4" fillId="0" borderId="18" xfId="0" applyFont="1" applyBorder="1"/>
    <xf numFmtId="43" fontId="6" fillId="0" borderId="4" xfId="1" applyFont="1" applyBorder="1"/>
    <xf numFmtId="164" fontId="6" fillId="0" borderId="5" xfId="1" applyNumberFormat="1" applyFont="1" applyBorder="1"/>
    <xf numFmtId="43" fontId="6" fillId="0" borderId="7" xfId="1" applyFont="1" applyBorder="1"/>
    <xf numFmtId="43" fontId="6" fillId="0" borderId="17" xfId="1" applyFont="1" applyBorder="1"/>
    <xf numFmtId="43" fontId="6" fillId="0" borderId="11" xfId="1" applyFont="1" applyBorder="1"/>
    <xf numFmtId="164" fontId="9" fillId="0" borderId="9" xfId="1" applyNumberFormat="1" applyFont="1" applyBorder="1" applyAlignment="1">
      <alignment horizontal="left" wrapText="1"/>
    </xf>
    <xf numFmtId="164" fontId="9" fillId="0" borderId="0" xfId="1" applyNumberFormat="1" applyFont="1" applyAlignment="1">
      <alignment horizontal="left" wrapText="1"/>
    </xf>
    <xf numFmtId="43" fontId="6" fillId="0" borderId="10" xfId="1" applyFont="1" applyFill="1" applyBorder="1"/>
    <xf numFmtId="43" fontId="6" fillId="0" borderId="3" xfId="1" applyFont="1" applyFill="1" applyBorder="1"/>
    <xf numFmtId="43" fontId="6" fillId="0" borderId="3" xfId="1" applyFont="1" applyBorder="1"/>
    <xf numFmtId="43" fontId="6" fillId="0" borderId="9" xfId="1" applyFont="1" applyBorder="1"/>
    <xf numFmtId="43" fontId="6" fillId="0" borderId="10" xfId="1" quotePrefix="1" applyFont="1" applyBorder="1"/>
    <xf numFmtId="43" fontId="4" fillId="0" borderId="3" xfId="1" applyFont="1" applyBorder="1"/>
    <xf numFmtId="164" fontId="6" fillId="0" borderId="0" xfId="1" quotePrefix="1" applyNumberFormat="1" applyFont="1" applyBorder="1" applyAlignment="1">
      <alignment horizontal="left" wrapText="1"/>
    </xf>
    <xf numFmtId="43" fontId="6" fillId="0" borderId="24" xfId="1" applyFont="1" applyFill="1" applyBorder="1"/>
    <xf numFmtId="164" fontId="6" fillId="0" borderId="9" xfId="1" applyNumberFormat="1" applyFont="1" applyBorder="1"/>
    <xf numFmtId="43" fontId="6" fillId="0" borderId="12" xfId="1" quotePrefix="1" applyFont="1" applyBorder="1"/>
    <xf numFmtId="43" fontId="4" fillId="0" borderId="3" xfId="1" applyFont="1" applyFill="1" applyBorder="1"/>
    <xf numFmtId="43" fontId="4" fillId="0" borderId="10" xfId="1" applyFont="1" applyFill="1" applyBorder="1"/>
    <xf numFmtId="0" fontId="10" fillId="0" borderId="9" xfId="0" applyFont="1" applyBorder="1"/>
    <xf numFmtId="43" fontId="6" fillId="0" borderId="10" xfId="0" applyNumberFormat="1" applyFont="1" applyBorder="1"/>
    <xf numFmtId="2" fontId="6" fillId="0" borderId="10" xfId="0" applyNumberFormat="1" applyFont="1" applyBorder="1"/>
    <xf numFmtId="43" fontId="4" fillId="0" borderId="10" xfId="1" quotePrefix="1" applyFont="1" applyBorder="1"/>
    <xf numFmtId="43" fontId="6" fillId="0" borderId="11" xfId="0" applyNumberFormat="1" applyFont="1" applyBorder="1"/>
    <xf numFmtId="43" fontId="6" fillId="0" borderId="11" xfId="1" applyFont="1" applyFill="1" applyBorder="1"/>
    <xf numFmtId="43" fontId="6" fillId="2" borderId="25" xfId="1" applyFont="1" applyFill="1" applyBorder="1"/>
    <xf numFmtId="43" fontId="4" fillId="0" borderId="0" xfId="1" applyFont="1" applyFill="1"/>
    <xf numFmtId="164" fontId="9" fillId="0" borderId="9" xfId="1" applyNumberFormat="1" applyFont="1" applyBorder="1"/>
    <xf numFmtId="2" fontId="6" fillId="0" borderId="11" xfId="0" applyNumberFormat="1" applyFont="1" applyBorder="1"/>
    <xf numFmtId="0" fontId="6" fillId="0" borderId="11" xfId="0" applyFont="1" applyBorder="1"/>
    <xf numFmtId="43" fontId="6" fillId="2" borderId="10" xfId="1" applyFont="1" applyFill="1" applyBorder="1"/>
    <xf numFmtId="164" fontId="6" fillId="0" borderId="13" xfId="1" applyNumberFormat="1" applyFont="1" applyBorder="1"/>
    <xf numFmtId="43" fontId="4" fillId="0" borderId="15" xfId="1" applyFont="1" applyBorder="1"/>
    <xf numFmtId="43" fontId="4" fillId="0" borderId="15" xfId="1" applyFont="1" applyFill="1" applyBorder="1"/>
    <xf numFmtId="43" fontId="6" fillId="2" borderId="21" xfId="1" applyFont="1" applyFill="1" applyBorder="1"/>
    <xf numFmtId="43" fontId="6" fillId="0" borderId="0" xfId="1" applyFont="1" applyBorder="1"/>
    <xf numFmtId="43" fontId="6" fillId="2" borderId="12" xfId="1" applyFont="1" applyFill="1" applyBorder="1"/>
    <xf numFmtId="164" fontId="6" fillId="0" borderId="7" xfId="1" applyNumberFormat="1" applyFont="1" applyBorder="1"/>
    <xf numFmtId="164" fontId="6" fillId="0" borderId="12" xfId="1" applyNumberFormat="1" applyFont="1" applyBorder="1"/>
    <xf numFmtId="43" fontId="6" fillId="0" borderId="12" xfId="1" applyFont="1" applyBorder="1"/>
    <xf numFmtId="43" fontId="6" fillId="0" borderId="21" xfId="1" applyFont="1" applyBorder="1"/>
    <xf numFmtId="43" fontId="4" fillId="0" borderId="0" xfId="1" applyFont="1"/>
    <xf numFmtId="43" fontId="6" fillId="0" borderId="5" xfId="1" applyFont="1" applyBorder="1"/>
    <xf numFmtId="43" fontId="4" fillId="0" borderId="4" xfId="1" applyFont="1" applyBorder="1"/>
    <xf numFmtId="43" fontId="4" fillId="0" borderId="6" xfId="1" applyFont="1" applyBorder="1"/>
    <xf numFmtId="164" fontId="4" fillId="0" borderId="5" xfId="1" applyNumberFormat="1" applyFont="1" applyBorder="1"/>
    <xf numFmtId="43" fontId="4" fillId="0" borderId="13" xfId="1" applyFont="1" applyBorder="1"/>
    <xf numFmtId="43" fontId="4" fillId="0" borderId="14" xfId="1" applyFont="1" applyBorder="1"/>
    <xf numFmtId="43" fontId="4" fillId="0" borderId="2" xfId="1" applyFont="1" applyBorder="1"/>
    <xf numFmtId="43" fontId="6" fillId="0" borderId="14" xfId="1" applyFont="1" applyBorder="1"/>
    <xf numFmtId="164" fontId="6" fillId="0" borderId="14" xfId="1" applyNumberFormat="1" applyFont="1" applyBorder="1"/>
    <xf numFmtId="164" fontId="4" fillId="0" borderId="13" xfId="1" applyNumberFormat="1" applyFont="1" applyBorder="1"/>
    <xf numFmtId="43" fontId="4" fillId="0" borderId="0" xfId="1" applyFont="1" applyBorder="1"/>
    <xf numFmtId="43" fontId="4" fillId="0" borderId="16" xfId="1" applyFont="1" applyBorder="1"/>
    <xf numFmtId="43" fontId="4" fillId="0" borderId="17" xfId="1" applyFont="1" applyBorder="1"/>
    <xf numFmtId="43" fontId="6" fillId="0" borderId="8" xfId="1" applyFont="1" applyBorder="1"/>
    <xf numFmtId="164" fontId="6" fillId="0" borderId="16" xfId="1" applyNumberFormat="1" applyFont="1" applyBorder="1"/>
    <xf numFmtId="164" fontId="6" fillId="0" borderId="17" xfId="1" applyNumberFormat="1" applyFont="1" applyBorder="1"/>
    <xf numFmtId="164" fontId="6" fillId="0" borderId="8" xfId="1" applyNumberFormat="1" applyFont="1" applyBorder="1"/>
    <xf numFmtId="164" fontId="4" fillId="0" borderId="16" xfId="1" applyNumberFormat="1" applyFont="1" applyBorder="1"/>
    <xf numFmtId="43" fontId="6" fillId="0" borderId="13" xfId="1" applyFont="1" applyBorder="1"/>
    <xf numFmtId="43" fontId="6" fillId="0" borderId="2" xfId="1" applyFont="1" applyBorder="1"/>
    <xf numFmtId="43" fontId="6" fillId="0" borderId="2" xfId="1" applyFont="1" applyFill="1" applyBorder="1"/>
    <xf numFmtId="164" fontId="6" fillId="0" borderId="2" xfId="1" applyNumberFormat="1" applyFont="1" applyFill="1" applyBorder="1" applyAlignment="1">
      <alignment horizontal="center"/>
    </xf>
    <xf numFmtId="164" fontId="6" fillId="0" borderId="2" xfId="1" applyNumberFormat="1" applyFont="1" applyFill="1" applyBorder="1"/>
    <xf numFmtId="43" fontId="6" fillId="0" borderId="0" xfId="1" quotePrefix="1" applyFont="1" applyBorder="1"/>
    <xf numFmtId="43" fontId="6" fillId="2" borderId="1" xfId="1" applyFont="1" applyFill="1" applyBorder="1"/>
    <xf numFmtId="164" fontId="6" fillId="0" borderId="1" xfId="1" applyNumberFormat="1" applyFont="1" applyBorder="1"/>
    <xf numFmtId="43" fontId="4" fillId="2" borderId="7" xfId="1" applyFont="1" applyFill="1" applyBorder="1"/>
    <xf numFmtId="43" fontId="6" fillId="0" borderId="7" xfId="1" applyFont="1" applyFill="1" applyBorder="1"/>
    <xf numFmtId="43" fontId="6" fillId="0" borderId="3" xfId="1" quotePrefix="1" applyFont="1" applyBorder="1"/>
    <xf numFmtId="43" fontId="8" fillId="0" borderId="7" xfId="1" applyFont="1" applyBorder="1"/>
    <xf numFmtId="43" fontId="6" fillId="2" borderId="26" xfId="1" applyFont="1" applyFill="1" applyBorder="1"/>
    <xf numFmtId="9" fontId="6" fillId="0" borderId="0" xfId="1" applyNumberFormat="1" applyFont="1" applyBorder="1"/>
    <xf numFmtId="43" fontId="6" fillId="0" borderId="6" xfId="1" applyFont="1" applyBorder="1"/>
    <xf numFmtId="164" fontId="6" fillId="0" borderId="6" xfId="1" applyNumberFormat="1" applyFont="1" applyBorder="1"/>
    <xf numFmtId="164" fontId="4" fillId="0" borderId="6" xfId="1" applyNumberFormat="1" applyFont="1" applyBorder="1"/>
    <xf numFmtId="43" fontId="6" fillId="3" borderId="0" xfId="1" applyFont="1" applyFill="1" applyBorder="1"/>
    <xf numFmtId="43" fontId="6" fillId="2" borderId="0" xfId="1" applyFont="1" applyFill="1" applyBorder="1"/>
    <xf numFmtId="0" fontId="11" fillId="0" borderId="2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14" xfId="0" applyFont="1" applyBorder="1"/>
    <xf numFmtId="0" fontId="6" fillId="0" borderId="15" xfId="0" applyFont="1" applyBorder="1"/>
    <xf numFmtId="164" fontId="0" fillId="2" borderId="15" xfId="1" applyNumberFormat="1" applyFont="1" applyFill="1" applyBorder="1"/>
    <xf numFmtId="0" fontId="4" fillId="0" borderId="7" xfId="0" applyFont="1" applyBorder="1"/>
    <xf numFmtId="164" fontId="4" fillId="0" borderId="15" xfId="1" applyNumberFormat="1" applyFont="1" applyBorder="1"/>
    <xf numFmtId="164" fontId="4" fillId="0" borderId="7" xfId="1" applyNumberFormat="1" applyFont="1" applyBorder="1"/>
    <xf numFmtId="164" fontId="4" fillId="0" borderId="19" xfId="1" applyNumberFormat="1" applyFont="1" applyBorder="1"/>
    <xf numFmtId="0" fontId="11" fillId="0" borderId="7" xfId="0" applyFont="1" applyBorder="1" applyAlignment="1">
      <alignment vertical="center"/>
    </xf>
    <xf numFmtId="164" fontId="6" fillId="0" borderId="15" xfId="1" applyNumberFormat="1" applyFont="1" applyBorder="1"/>
    <xf numFmtId="164" fontId="6" fillId="3" borderId="15" xfId="1" applyNumberFormat="1" applyFont="1" applyFill="1" applyBorder="1"/>
    <xf numFmtId="164" fontId="6" fillId="3" borderId="7" xfId="1" applyNumberFormat="1" applyFont="1" applyFill="1" applyBorder="1"/>
    <xf numFmtId="43" fontId="6" fillId="0" borderId="19" xfId="1" applyFont="1" applyBorder="1"/>
    <xf numFmtId="43" fontId="6" fillId="3" borderId="19" xfId="1" applyFont="1" applyFill="1" applyBorder="1"/>
    <xf numFmtId="164" fontId="4" fillId="0" borderId="0" xfId="1" applyNumberFormat="1" applyFont="1" applyFill="1"/>
    <xf numFmtId="0" fontId="4" fillId="0" borderId="0" xfId="0" applyFont="1"/>
    <xf numFmtId="164" fontId="6" fillId="0" borderId="20" xfId="0" applyNumberFormat="1" applyFont="1" applyBorder="1"/>
    <xf numFmtId="43" fontId="6" fillId="3" borderId="0" xfId="0" applyNumberFormat="1" applyFont="1" applyFill="1"/>
    <xf numFmtId="2" fontId="6" fillId="3" borderId="0" xfId="0" applyNumberFormat="1" applyFont="1" applyFill="1"/>
    <xf numFmtId="0" fontId="11" fillId="0" borderId="0" xfId="0" applyFont="1"/>
    <xf numFmtId="43" fontId="6" fillId="0" borderId="0" xfId="1" applyFont="1" applyFill="1"/>
    <xf numFmtId="164" fontId="9" fillId="0" borderId="0" xfId="1" applyNumberFormat="1" applyFont="1" applyFill="1"/>
    <xf numFmtId="164" fontId="11" fillId="0" borderId="0" xfId="1" applyNumberFormat="1" applyFont="1" applyFill="1"/>
    <xf numFmtId="164" fontId="6" fillId="0" borderId="0" xfId="1" quotePrefix="1" applyNumberFormat="1" applyFont="1" applyFill="1"/>
    <xf numFmtId="43" fontId="6" fillId="3" borderId="0" xfId="1" applyFont="1" applyFill="1"/>
    <xf numFmtId="164" fontId="6" fillId="0" borderId="0" xfId="1" applyNumberFormat="1" applyFont="1" applyFill="1" applyBorder="1"/>
    <xf numFmtId="43" fontId="6" fillId="4" borderId="3" xfId="1" applyFont="1" applyFill="1" applyBorder="1"/>
    <xf numFmtId="43" fontId="4" fillId="4" borderId="7" xfId="1" applyFont="1" applyFill="1" applyBorder="1"/>
    <xf numFmtId="0" fontId="0" fillId="0" borderId="0" xfId="0" applyAlignment="1">
      <alignment horizontal="left" vertical="top" wrapText="1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5" fillId="0" borderId="16" xfId="1" applyNumberFormat="1" applyFont="1" applyBorder="1" applyAlignment="1">
      <alignment horizontal="center"/>
    </xf>
    <xf numFmtId="164" fontId="5" fillId="0" borderId="17" xfId="1" applyNumberFormat="1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8" xfId="1" applyNumberFormat="1" applyFont="1" applyBorder="1" applyAlignment="1">
      <alignment horizontal="center" vertical="center"/>
    </xf>
    <xf numFmtId="164" fontId="0" fillId="0" borderId="15" xfId="1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45893</xdr:colOff>
      <xdr:row>80</xdr:row>
      <xdr:rowOff>147204</xdr:rowOff>
    </xdr:from>
    <xdr:to>
      <xdr:col>9</xdr:col>
      <xdr:colOff>799195</xdr:colOff>
      <xdr:row>87</xdr:row>
      <xdr:rowOff>156916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D69F43-FDF7-4367-9C9E-D04366F59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8166" y="15404522"/>
          <a:ext cx="5914120" cy="1343212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89</xdr:row>
      <xdr:rowOff>38100</xdr:rowOff>
    </xdr:from>
    <xdr:to>
      <xdr:col>9</xdr:col>
      <xdr:colOff>772348</xdr:colOff>
      <xdr:row>109</xdr:row>
      <xdr:rowOff>86263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2F5AFC5-DF2F-4C26-8090-03B608B32A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5" y="17011650"/>
          <a:ext cx="5896798" cy="3858163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139</xdr:row>
      <xdr:rowOff>171451</xdr:rowOff>
    </xdr:from>
    <xdr:to>
      <xdr:col>9</xdr:col>
      <xdr:colOff>314325</xdr:colOff>
      <xdr:row>150</xdr:row>
      <xdr:rowOff>95251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20AE22A-751D-4A59-B050-E2E9D34B5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5" y="26698576"/>
          <a:ext cx="5229225" cy="20193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17</xdr:col>
      <xdr:colOff>352421</xdr:colOff>
      <xdr:row>19</xdr:row>
      <xdr:rowOff>95250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87D0C21-E83B-4208-9160-35B2DCC7DD2A}"/>
            </a:ext>
          </a:extLst>
        </xdr:cNvPr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4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247646</xdr:colOff>
      <xdr:row>19</xdr:row>
      <xdr:rowOff>57150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792DCD8-40B9-42F2-A15B-AEB5D8801C2A}"/>
            </a:ext>
          </a:extLst>
        </xdr:cNvPr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38096</xdr:colOff>
      <xdr:row>19</xdr:row>
      <xdr:rowOff>57150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9646410-39CB-4169-8601-578C110E5334}"/>
            </a:ext>
          </a:extLst>
        </xdr:cNvPr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457196</xdr:colOff>
      <xdr:row>19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3683BC1-43CA-4D6E-82A0-2C748F385F5E}"/>
            </a:ext>
          </a:extLst>
        </xdr:cNvPr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38096</xdr:colOff>
      <xdr:row>19</xdr:row>
      <xdr:rowOff>47625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E4083D3-1E8F-4EB9-981A-4B655A5AF0E1}"/>
            </a:ext>
          </a:extLst>
        </xdr:cNvPr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76196</xdr:colOff>
      <xdr:row>19</xdr:row>
      <xdr:rowOff>19050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4919389-8E7C-4870-B620-3560FA1D1AB4}"/>
            </a:ext>
          </a:extLst>
        </xdr:cNvPr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1123946</xdr:colOff>
      <xdr:row>18</xdr:row>
      <xdr:rowOff>9525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2D95E6A-9D10-4F6D-8C68-61E09BC6AD35}"/>
            </a:ext>
          </a:extLst>
        </xdr:cNvPr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22</xdr:col>
      <xdr:colOff>9521</xdr:colOff>
      <xdr:row>36</xdr:row>
      <xdr:rowOff>123825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00D5130-E816-43DC-B646-51C8817DBFC6}"/>
            </a:ext>
          </a:extLst>
        </xdr:cNvPr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3B1D0-ED0D-4035-8947-AFA44F276EBF}">
  <sheetPr>
    <pageSetUpPr fitToPage="1"/>
  </sheetPr>
  <dimension ref="B3:P142"/>
  <sheetViews>
    <sheetView tabSelected="1" zoomScaleNormal="100" zoomScaleSheetLayoutView="100" workbookViewId="0">
      <selection activeCell="A22" sqref="A22"/>
    </sheetView>
  </sheetViews>
  <sheetFormatPr defaultRowHeight="15" x14ac:dyDescent="0.25"/>
  <cols>
    <col min="4" max="4" width="13.28515625" bestFit="1" customWidth="1"/>
    <col min="5" max="5" width="9.5703125" bestFit="1" customWidth="1"/>
    <col min="7" max="7" width="10.5703125" bestFit="1" customWidth="1"/>
    <col min="8" max="8" width="11.5703125" bestFit="1" customWidth="1"/>
    <col min="9" max="10" width="14.28515625" bestFit="1" customWidth="1"/>
    <col min="15" max="16" width="15.28515625" bestFit="1" customWidth="1"/>
  </cols>
  <sheetData>
    <row r="3" spans="2:13" x14ac:dyDescent="0.25">
      <c r="B3" s="4">
        <v>1.1000000000000001</v>
      </c>
      <c r="C3" t="s">
        <v>38</v>
      </c>
    </row>
    <row r="5" spans="2:13" x14ac:dyDescent="0.25">
      <c r="B5" s="235" t="s">
        <v>0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</row>
    <row r="6" spans="2:13" x14ac:dyDescent="0.25"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</row>
    <row r="7" spans="2:13" x14ac:dyDescent="0.25"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</row>
    <row r="8" spans="2:13" x14ac:dyDescent="0.25">
      <c r="B8" t="s">
        <v>1</v>
      </c>
    </row>
    <row r="9" spans="2:13" x14ac:dyDescent="0.25">
      <c r="B9" t="s">
        <v>2</v>
      </c>
    </row>
    <row r="11" spans="2:13" x14ac:dyDescent="0.25">
      <c r="B11" t="s">
        <v>3</v>
      </c>
    </row>
    <row r="13" spans="2:13" x14ac:dyDescent="0.25">
      <c r="B13" s="235" t="s">
        <v>4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</row>
    <row r="14" spans="2:13" x14ac:dyDescent="0.25"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</row>
    <row r="15" spans="2:13" x14ac:dyDescent="0.25"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</row>
    <row r="16" spans="2:13" x14ac:dyDescent="0.25">
      <c r="B16" t="s">
        <v>5</v>
      </c>
    </row>
    <row r="18" spans="2:6" x14ac:dyDescent="0.25">
      <c r="B18" t="s">
        <v>6</v>
      </c>
    </row>
    <row r="19" spans="2:6" x14ac:dyDescent="0.25">
      <c r="B19" t="s">
        <v>7</v>
      </c>
    </row>
    <row r="20" spans="2:6" x14ac:dyDescent="0.25">
      <c r="B20" t="s">
        <v>8</v>
      </c>
    </row>
    <row r="22" spans="2:6" x14ac:dyDescent="0.25">
      <c r="B22" t="s">
        <v>9</v>
      </c>
    </row>
    <row r="24" spans="2:6" x14ac:dyDescent="0.25">
      <c r="B24" s="4">
        <v>1.2</v>
      </c>
      <c r="C24" t="s">
        <v>39</v>
      </c>
    </row>
    <row r="26" spans="2:6" x14ac:dyDescent="0.25">
      <c r="B26" t="s">
        <v>10</v>
      </c>
    </row>
    <row r="28" spans="2:6" x14ac:dyDescent="0.25">
      <c r="B28" t="s">
        <v>11</v>
      </c>
    </row>
    <row r="30" spans="2:6" ht="15.75" thickBot="1" x14ac:dyDescent="0.3">
      <c r="B30" t="s">
        <v>12</v>
      </c>
      <c r="F30" s="2"/>
    </row>
    <row r="31" spans="2:6" ht="15.75" thickTop="1" x14ac:dyDescent="0.25"/>
    <row r="32" spans="2:6" x14ac:dyDescent="0.25">
      <c r="B32" s="1" t="s">
        <v>13</v>
      </c>
    </row>
    <row r="34" spans="2:3" x14ac:dyDescent="0.25">
      <c r="B34" t="s">
        <v>14</v>
      </c>
    </row>
    <row r="36" spans="2:3" x14ac:dyDescent="0.25">
      <c r="B36" t="s">
        <v>15</v>
      </c>
    </row>
    <row r="38" spans="2:3" x14ac:dyDescent="0.25">
      <c r="B38" t="s">
        <v>16</v>
      </c>
    </row>
    <row r="40" spans="2:3" x14ac:dyDescent="0.25">
      <c r="B40" s="4">
        <v>1.3</v>
      </c>
      <c r="C40" t="s">
        <v>38</v>
      </c>
    </row>
    <row r="42" spans="2:3" x14ac:dyDescent="0.25">
      <c r="B42" t="s">
        <v>17</v>
      </c>
    </row>
    <row r="44" spans="2:3" x14ac:dyDescent="0.25">
      <c r="B44" s="4">
        <v>1.4</v>
      </c>
      <c r="C44" t="s">
        <v>40</v>
      </c>
    </row>
    <row r="46" spans="2:3" x14ac:dyDescent="0.25">
      <c r="B46" t="s">
        <v>18</v>
      </c>
    </row>
    <row r="48" spans="2:3" x14ac:dyDescent="0.25">
      <c r="B48" t="s">
        <v>19</v>
      </c>
    </row>
    <row r="50" spans="2:4" x14ac:dyDescent="0.25">
      <c r="B50" t="s">
        <v>20</v>
      </c>
    </row>
    <row r="52" spans="2:4" x14ac:dyDescent="0.25">
      <c r="B52" t="s">
        <v>21</v>
      </c>
    </row>
    <row r="53" spans="2:4" x14ac:dyDescent="0.25">
      <c r="B53" t="s">
        <v>22</v>
      </c>
    </row>
    <row r="54" spans="2:4" x14ac:dyDescent="0.25">
      <c r="B54" t="s">
        <v>23</v>
      </c>
    </row>
    <row r="55" spans="2:4" x14ac:dyDescent="0.25">
      <c r="B55" t="s">
        <v>24</v>
      </c>
    </row>
    <row r="56" spans="2:4" x14ac:dyDescent="0.25">
      <c r="D56">
        <v>3</v>
      </c>
    </row>
    <row r="57" spans="2:4" x14ac:dyDescent="0.25">
      <c r="B57" t="s">
        <v>25</v>
      </c>
    </row>
    <row r="58" spans="2:4" x14ac:dyDescent="0.25">
      <c r="B58" t="s">
        <v>26</v>
      </c>
    </row>
    <row r="59" spans="2:4" x14ac:dyDescent="0.25">
      <c r="B59" t="s">
        <v>27</v>
      </c>
    </row>
    <row r="60" spans="2:4" x14ac:dyDescent="0.25">
      <c r="B60" t="s">
        <v>28</v>
      </c>
    </row>
    <row r="62" spans="2:4" x14ac:dyDescent="0.25">
      <c r="B62" t="s">
        <v>29</v>
      </c>
    </row>
    <row r="63" spans="2:4" x14ac:dyDescent="0.25">
      <c r="B63" t="s">
        <v>30</v>
      </c>
    </row>
    <row r="64" spans="2:4" x14ac:dyDescent="0.25">
      <c r="B64" t="s">
        <v>31</v>
      </c>
    </row>
    <row r="66" spans="2:3" x14ac:dyDescent="0.25">
      <c r="B66" s="4" t="s">
        <v>41</v>
      </c>
      <c r="C66" t="s">
        <v>42</v>
      </c>
    </row>
    <row r="68" spans="2:3" x14ac:dyDescent="0.25">
      <c r="B68" t="s">
        <v>32</v>
      </c>
    </row>
    <row r="70" spans="2:3" x14ac:dyDescent="0.25">
      <c r="B70" t="s">
        <v>33</v>
      </c>
    </row>
    <row r="71" spans="2:3" x14ac:dyDescent="0.25">
      <c r="B71" t="s">
        <v>25</v>
      </c>
    </row>
    <row r="72" spans="2:3" x14ac:dyDescent="0.25">
      <c r="B72" t="s">
        <v>34</v>
      </c>
    </row>
    <row r="74" spans="2:3" x14ac:dyDescent="0.25">
      <c r="B74" t="s">
        <v>35</v>
      </c>
    </row>
    <row r="76" spans="2:3" x14ac:dyDescent="0.25">
      <c r="B76" s="3">
        <v>-700000</v>
      </c>
    </row>
    <row r="78" spans="2:3" x14ac:dyDescent="0.25">
      <c r="B78" t="s">
        <v>36</v>
      </c>
    </row>
    <row r="80" spans="2:3" x14ac:dyDescent="0.25">
      <c r="B80" t="s">
        <v>37</v>
      </c>
    </row>
    <row r="82" spans="2:2" x14ac:dyDescent="0.25">
      <c r="B82" s="4">
        <v>1.6</v>
      </c>
    </row>
    <row r="90" spans="2:2" x14ac:dyDescent="0.25">
      <c r="B90" s="4">
        <v>1.7</v>
      </c>
    </row>
    <row r="110" spans="2:16" x14ac:dyDescent="0.25">
      <c r="O110" s="10"/>
    </row>
    <row r="111" spans="2:16" x14ac:dyDescent="0.25">
      <c r="B111" s="4">
        <v>1.8</v>
      </c>
      <c r="C111" s="5" t="s">
        <v>43</v>
      </c>
      <c r="O111" s="6"/>
      <c r="P111" s="6"/>
    </row>
    <row r="112" spans="2:16" x14ac:dyDescent="0.25">
      <c r="O112" s="6"/>
    </row>
    <row r="113" spans="3:16" ht="15.75" x14ac:dyDescent="0.25">
      <c r="C113" s="14" t="s">
        <v>51</v>
      </c>
      <c r="D113" s="11">
        <v>1000000</v>
      </c>
      <c r="E113" s="6"/>
      <c r="G113">
        <v>1000</v>
      </c>
      <c r="H113" s="14" t="s">
        <v>54</v>
      </c>
    </row>
    <row r="114" spans="3:16" x14ac:dyDescent="0.25">
      <c r="C114" t="s">
        <v>52</v>
      </c>
      <c r="D114">
        <v>10</v>
      </c>
      <c r="I114" s="6"/>
      <c r="O114" s="13">
        <f>2*1000000*50</f>
        <v>100000000</v>
      </c>
    </row>
    <row r="115" spans="3:16" x14ac:dyDescent="0.25">
      <c r="C115" t="s">
        <v>53</v>
      </c>
      <c r="D115">
        <v>5</v>
      </c>
      <c r="I115" s="6"/>
      <c r="O115" s="13"/>
    </row>
    <row r="116" spans="3:16" x14ac:dyDescent="0.25">
      <c r="I116" s="6"/>
      <c r="O116" s="13">
        <f>+(2*1000000*5)/10</f>
        <v>1000000</v>
      </c>
    </row>
    <row r="117" spans="3:16" x14ac:dyDescent="0.25">
      <c r="I117" s="6"/>
      <c r="O117" s="13">
        <f>1000*1000</f>
        <v>1000000</v>
      </c>
    </row>
    <row r="118" spans="3:16" x14ac:dyDescent="0.25">
      <c r="I118" s="6"/>
      <c r="O118" s="13"/>
    </row>
    <row r="119" spans="3:16" x14ac:dyDescent="0.25">
      <c r="C119" t="s">
        <v>44</v>
      </c>
      <c r="G119" t="s">
        <v>45</v>
      </c>
      <c r="H119" s="8" t="s">
        <v>46</v>
      </c>
      <c r="I119" s="9"/>
      <c r="J119" t="s">
        <v>48</v>
      </c>
      <c r="P119" s="6"/>
    </row>
    <row r="120" spans="3:16" x14ac:dyDescent="0.25">
      <c r="H120" t="s">
        <v>47</v>
      </c>
      <c r="I120" s="6"/>
      <c r="O120" s="6">
        <f>10000*10000</f>
        <v>100000000</v>
      </c>
    </row>
    <row r="121" spans="3:16" x14ac:dyDescent="0.25">
      <c r="I121" s="6"/>
      <c r="O121" s="10"/>
    </row>
    <row r="122" spans="3:16" x14ac:dyDescent="0.25">
      <c r="G122" t="s">
        <v>45</v>
      </c>
      <c r="H122" s="10" t="s">
        <v>55</v>
      </c>
      <c r="I122" s="6"/>
      <c r="O122" s="11">
        <v>1000</v>
      </c>
    </row>
    <row r="123" spans="3:16" x14ac:dyDescent="0.25">
      <c r="I123" s="6"/>
      <c r="O123" s="6"/>
    </row>
    <row r="124" spans="3:16" x14ac:dyDescent="0.25">
      <c r="G124" t="s">
        <v>45</v>
      </c>
      <c r="H124" s="6">
        <f>+(1000000/1000)*5</f>
        <v>5000</v>
      </c>
      <c r="I124" s="6"/>
    </row>
    <row r="125" spans="3:16" x14ac:dyDescent="0.25">
      <c r="I125" s="6"/>
      <c r="O125" s="6"/>
    </row>
    <row r="126" spans="3:16" x14ac:dyDescent="0.25">
      <c r="C126" t="s">
        <v>49</v>
      </c>
      <c r="G126" t="s">
        <v>45</v>
      </c>
      <c r="H126" t="s">
        <v>50</v>
      </c>
      <c r="I126" s="6"/>
      <c r="O126" s="6"/>
    </row>
    <row r="127" spans="3:16" x14ac:dyDescent="0.25">
      <c r="I127" s="6"/>
      <c r="O127" s="12"/>
    </row>
    <row r="128" spans="3:16" x14ac:dyDescent="0.25">
      <c r="G128" t="s">
        <v>45</v>
      </c>
      <c r="H128" s="10" t="s">
        <v>56</v>
      </c>
      <c r="I128" s="6"/>
    </row>
    <row r="129" spans="2:10" x14ac:dyDescent="0.25">
      <c r="I129" s="6"/>
    </row>
    <row r="130" spans="2:10" x14ac:dyDescent="0.25">
      <c r="G130" t="s">
        <v>45</v>
      </c>
      <c r="H130" s="6">
        <f>500*10</f>
        <v>5000</v>
      </c>
      <c r="I130" s="6"/>
    </row>
    <row r="131" spans="2:10" x14ac:dyDescent="0.25">
      <c r="I131" s="6"/>
    </row>
    <row r="132" spans="2:10" x14ac:dyDescent="0.25">
      <c r="B132" s="4">
        <v>1.9</v>
      </c>
      <c r="I132" s="6"/>
    </row>
    <row r="133" spans="2:10" ht="15.75" x14ac:dyDescent="0.25">
      <c r="D133" s="14" t="s">
        <v>57</v>
      </c>
      <c r="G133" s="10" t="s">
        <v>284</v>
      </c>
      <c r="I133" s="6"/>
      <c r="J133" s="7"/>
    </row>
    <row r="135" spans="2:10" x14ac:dyDescent="0.25">
      <c r="G135" s="11">
        <f>+(30*200*55)*0.9</f>
        <v>297000</v>
      </c>
    </row>
    <row r="136" spans="2:10" x14ac:dyDescent="0.25">
      <c r="J136" s="6"/>
    </row>
    <row r="137" spans="2:10" x14ac:dyDescent="0.25">
      <c r="J137" s="6"/>
    </row>
    <row r="138" spans="2:10" ht="15.75" x14ac:dyDescent="0.25">
      <c r="D138" s="14" t="s">
        <v>58</v>
      </c>
      <c r="G138" s="10" t="s">
        <v>285</v>
      </c>
      <c r="J138" s="6"/>
    </row>
    <row r="140" spans="2:10" x14ac:dyDescent="0.25">
      <c r="G140" s="15">
        <f>1560000/297000</f>
        <v>5.2525252525252526</v>
      </c>
    </row>
    <row r="142" spans="2:10" x14ac:dyDescent="0.25">
      <c r="B142" s="16" t="s">
        <v>59</v>
      </c>
    </row>
  </sheetData>
  <mergeCells count="2">
    <mergeCell ref="B5:M7"/>
    <mergeCell ref="B13:M15"/>
  </mergeCells>
  <pageMargins left="0.7" right="0.7" top="0.75" bottom="0.75" header="0.3" footer="0.3"/>
  <pageSetup paperSize="9" scale="63" fitToHeight="0" orientation="portrait" r:id="rId1"/>
  <rowBreaks count="2" manualBreakCount="2">
    <brk id="65" max="12" man="1"/>
    <brk id="110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E426C-1B56-42E1-A390-C6D66BE2D792}">
  <dimension ref="A2:T37"/>
  <sheetViews>
    <sheetView zoomScaleNormal="100" zoomScaleSheetLayoutView="100" workbookViewId="0">
      <selection activeCell="A21" sqref="A21"/>
    </sheetView>
  </sheetViews>
  <sheetFormatPr defaultColWidth="9.140625" defaultRowHeight="15" x14ac:dyDescent="0.25"/>
  <cols>
    <col min="1" max="1" width="3.28515625" style="24" customWidth="1"/>
    <col min="2" max="5" width="11.7109375" style="24" customWidth="1"/>
    <col min="6" max="6" width="11.7109375" style="25" customWidth="1"/>
    <col min="7" max="7" width="11.5703125" style="25" bestFit="1" customWidth="1"/>
    <col min="8" max="8" width="3.28515625" style="24" customWidth="1"/>
    <col min="9" max="9" width="9.140625" style="24"/>
    <col min="10" max="10" width="11.140625" style="24" bestFit="1" customWidth="1"/>
    <col min="11" max="14" width="9.140625" style="24"/>
    <col min="15" max="15" width="11.5703125" style="25" bestFit="1" customWidth="1"/>
    <col min="16" max="17" width="9.140625" style="24"/>
    <col min="18" max="18" width="9.5703125" style="24" bestFit="1" customWidth="1"/>
    <col min="19" max="19" width="5.42578125" style="24" bestFit="1" customWidth="1"/>
    <col min="20" max="20" width="9.5703125" style="24" bestFit="1" customWidth="1"/>
    <col min="21" max="16384" width="9.140625" style="24"/>
  </cols>
  <sheetData>
    <row r="2" spans="1:20" ht="15.75" x14ac:dyDescent="0.25">
      <c r="B2" s="118"/>
      <c r="C2" s="203" t="s">
        <v>271</v>
      </c>
      <c r="D2" s="118"/>
      <c r="E2" s="118"/>
      <c r="F2" s="120"/>
      <c r="G2" s="120"/>
    </row>
    <row r="3" spans="1:20" x14ac:dyDescent="0.25">
      <c r="A3" s="44"/>
      <c r="B3" s="24" t="s">
        <v>60</v>
      </c>
      <c r="E3" s="204"/>
      <c r="F3" s="20"/>
      <c r="G3" s="20">
        <v>1250</v>
      </c>
      <c r="I3" s="21" t="s">
        <v>61</v>
      </c>
      <c r="J3" s="21"/>
      <c r="M3" s="21" t="s">
        <v>62</v>
      </c>
      <c r="N3" s="21"/>
      <c r="Q3" s="21" t="s">
        <v>63</v>
      </c>
    </row>
    <row r="4" spans="1:20" x14ac:dyDescent="0.25">
      <c r="A4" s="44"/>
      <c r="E4" s="44"/>
      <c r="F4" s="27"/>
      <c r="G4" s="27"/>
      <c r="I4" s="24" t="s">
        <v>75</v>
      </c>
      <c r="J4" s="23">
        <v>3000</v>
      </c>
      <c r="K4" s="24">
        <f>+J4*0.1</f>
        <v>300</v>
      </c>
      <c r="M4" s="24" t="s">
        <v>75</v>
      </c>
      <c r="N4" s="24">
        <v>3</v>
      </c>
      <c r="O4" s="25">
        <f>+(91.6666666666667)*N4</f>
        <v>275.00000000000011</v>
      </c>
      <c r="Q4" s="24" t="s">
        <v>75</v>
      </c>
      <c r="R4" s="23">
        <v>100</v>
      </c>
    </row>
    <row r="5" spans="1:20" x14ac:dyDescent="0.25">
      <c r="A5" s="44"/>
      <c r="B5" s="24" t="s">
        <v>64</v>
      </c>
      <c r="E5" s="44"/>
      <c r="F5" s="27"/>
      <c r="G5" s="27"/>
      <c r="I5" s="24" t="s">
        <v>75</v>
      </c>
      <c r="J5" s="23">
        <v>2000</v>
      </c>
      <c r="K5" s="24">
        <f>+J5*0.1</f>
        <v>200</v>
      </c>
      <c r="M5" s="24" t="s">
        <v>75</v>
      </c>
      <c r="N5" s="24">
        <v>2</v>
      </c>
      <c r="O5" s="25">
        <f t="shared" ref="O5:O6" si="0">+(91.6666666666667)*N5</f>
        <v>183.3333333333334</v>
      </c>
      <c r="R5" s="23"/>
    </row>
    <row r="6" spans="1:20" x14ac:dyDescent="0.25">
      <c r="A6" s="44"/>
      <c r="E6" s="44"/>
      <c r="F6" s="27"/>
      <c r="G6" s="27"/>
      <c r="I6" s="24" t="s">
        <v>66</v>
      </c>
      <c r="J6" s="23">
        <v>1000</v>
      </c>
      <c r="K6" s="24">
        <f>+J6*0.1</f>
        <v>100</v>
      </c>
      <c r="M6" s="24" t="s">
        <v>66</v>
      </c>
      <c r="N6" s="24">
        <v>1</v>
      </c>
      <c r="O6" s="25">
        <f t="shared" si="0"/>
        <v>91.6666666666667</v>
      </c>
      <c r="R6" s="23"/>
    </row>
    <row r="7" spans="1:20" x14ac:dyDescent="0.25">
      <c r="A7" s="44"/>
      <c r="B7" s="24" t="s">
        <v>61</v>
      </c>
      <c r="E7" s="44"/>
      <c r="F7" s="27"/>
      <c r="G7" s="27"/>
    </row>
    <row r="8" spans="1:20" x14ac:dyDescent="0.25">
      <c r="A8" s="44"/>
      <c r="B8" s="24" t="s">
        <v>75</v>
      </c>
      <c r="E8" s="44"/>
      <c r="F8" s="27">
        <v>300</v>
      </c>
      <c r="G8" s="27"/>
    </row>
    <row r="9" spans="1:20" x14ac:dyDescent="0.25">
      <c r="A9" s="44"/>
      <c r="B9" s="24" t="s">
        <v>75</v>
      </c>
      <c r="E9" s="44"/>
      <c r="F9" s="27">
        <v>200</v>
      </c>
      <c r="G9" s="27"/>
    </row>
    <row r="10" spans="1:20" x14ac:dyDescent="0.25">
      <c r="A10" s="44"/>
      <c r="B10" s="24" t="s">
        <v>65</v>
      </c>
      <c r="E10" s="44"/>
      <c r="F10" s="27">
        <v>100</v>
      </c>
      <c r="G10" s="27">
        <f>SUM(F8:F10)</f>
        <v>600</v>
      </c>
      <c r="N10" s="21" t="s">
        <v>67</v>
      </c>
      <c r="O10" s="21"/>
    </row>
    <row r="11" spans="1:20" x14ac:dyDescent="0.25">
      <c r="A11" s="44"/>
      <c r="E11" s="44"/>
      <c r="G11" s="32"/>
      <c r="I11" s="205"/>
      <c r="J11" s="122"/>
      <c r="K11" s="204"/>
      <c r="L11" s="206" t="s">
        <v>75</v>
      </c>
      <c r="M11" s="207" t="s">
        <v>75</v>
      </c>
      <c r="N11" s="206" t="s">
        <v>66</v>
      </c>
      <c r="O11" s="122"/>
      <c r="P11" s="122"/>
      <c r="Q11" s="204"/>
      <c r="R11" s="206" t="s">
        <v>75</v>
      </c>
      <c r="S11" s="207" t="s">
        <v>75</v>
      </c>
      <c r="T11" s="206" t="s">
        <v>66</v>
      </c>
    </row>
    <row r="12" spans="1:20" x14ac:dyDescent="0.25">
      <c r="A12" s="44"/>
      <c r="B12" s="24" t="s">
        <v>63</v>
      </c>
      <c r="E12" s="44"/>
      <c r="F12" s="27"/>
      <c r="G12" s="27"/>
      <c r="I12" s="43" t="s">
        <v>68</v>
      </c>
      <c r="K12" s="44"/>
      <c r="L12" s="32">
        <v>0</v>
      </c>
      <c r="M12" s="33">
        <v>200</v>
      </c>
      <c r="N12" s="32">
        <v>300</v>
      </c>
      <c r="O12" s="24" t="s">
        <v>68</v>
      </c>
      <c r="Q12" s="44"/>
      <c r="R12" s="32">
        <v>100</v>
      </c>
      <c r="S12" s="32">
        <v>0</v>
      </c>
      <c r="T12" s="27">
        <v>0</v>
      </c>
    </row>
    <row r="13" spans="1:20" x14ac:dyDescent="0.25">
      <c r="A13" s="44"/>
      <c r="B13" s="24" t="s">
        <v>75</v>
      </c>
      <c r="E13" s="44"/>
      <c r="F13" s="27">
        <v>100</v>
      </c>
      <c r="G13" s="27"/>
      <c r="I13" s="43" t="s">
        <v>69</v>
      </c>
      <c r="K13" s="44"/>
      <c r="L13" s="34">
        <v>100</v>
      </c>
      <c r="M13" s="34">
        <v>200</v>
      </c>
      <c r="N13" s="34">
        <v>0</v>
      </c>
      <c r="O13" s="24" t="s">
        <v>70</v>
      </c>
      <c r="Q13" s="44"/>
      <c r="R13" s="32">
        <v>300</v>
      </c>
      <c r="S13" s="32">
        <v>200</v>
      </c>
      <c r="T13" s="27">
        <v>100</v>
      </c>
    </row>
    <row r="14" spans="1:20" x14ac:dyDescent="0.25">
      <c r="A14" s="44"/>
      <c r="B14" s="24" t="s">
        <v>75</v>
      </c>
      <c r="E14" s="44"/>
      <c r="F14" s="27">
        <v>0</v>
      </c>
      <c r="G14" s="27"/>
      <c r="I14" s="43"/>
      <c r="K14" s="44"/>
      <c r="L14" s="34"/>
      <c r="M14" s="34"/>
      <c r="N14" s="34"/>
      <c r="O14" s="24" t="s">
        <v>63</v>
      </c>
      <c r="Q14" s="44"/>
      <c r="R14" s="32">
        <v>100</v>
      </c>
      <c r="S14" s="32">
        <v>0</v>
      </c>
      <c r="T14" s="27">
        <v>0</v>
      </c>
    </row>
    <row r="15" spans="1:20" ht="15.75" thickBot="1" x14ac:dyDescent="0.3">
      <c r="A15" s="44"/>
      <c r="B15" s="24" t="s">
        <v>66</v>
      </c>
      <c r="E15" s="44"/>
      <c r="F15" s="25">
        <v>0</v>
      </c>
      <c r="G15" s="36">
        <f>SUM(F13:F15)</f>
        <v>100</v>
      </c>
      <c r="I15" s="43"/>
      <c r="K15" s="44"/>
      <c r="L15" s="34"/>
      <c r="M15" s="34"/>
      <c r="N15" s="37"/>
      <c r="O15" s="24" t="s">
        <v>62</v>
      </c>
      <c r="Q15" s="44"/>
      <c r="R15" s="32">
        <f>+F19</f>
        <v>275.00000000000011</v>
      </c>
      <c r="S15" s="32">
        <f>+F20</f>
        <v>183.3333333333334</v>
      </c>
      <c r="T15" s="32">
        <f>+F21</f>
        <v>91.6666666666667</v>
      </c>
    </row>
    <row r="16" spans="1:20" x14ac:dyDescent="0.25">
      <c r="A16" s="44"/>
      <c r="B16" s="24" t="s">
        <v>72</v>
      </c>
      <c r="E16" s="44"/>
      <c r="F16" s="27"/>
      <c r="G16" s="38">
        <f>+G3-G10-G15</f>
        <v>550</v>
      </c>
      <c r="I16" s="43"/>
      <c r="K16" s="44"/>
      <c r="L16" s="34"/>
      <c r="M16" s="34"/>
      <c r="N16" s="37"/>
      <c r="O16" s="43" t="s">
        <v>71</v>
      </c>
      <c r="Q16" s="44"/>
      <c r="R16" s="32">
        <v>0</v>
      </c>
      <c r="S16" s="32">
        <v>0</v>
      </c>
      <c r="T16" s="27">
        <f>+T18-T15-T14-T13-T12</f>
        <v>108.33333333333331</v>
      </c>
    </row>
    <row r="17" spans="1:20" x14ac:dyDescent="0.25">
      <c r="A17" s="44"/>
      <c r="E17" s="44"/>
      <c r="F17" s="27"/>
      <c r="G17" s="27"/>
      <c r="I17" s="43" t="s">
        <v>68</v>
      </c>
      <c r="K17" s="44"/>
      <c r="L17" s="37">
        <f>+L18-L13</f>
        <v>675.00000000000011</v>
      </c>
      <c r="M17" s="37">
        <v>0</v>
      </c>
      <c r="N17" s="37">
        <v>0</v>
      </c>
      <c r="O17" s="43" t="s">
        <v>68</v>
      </c>
      <c r="Q17" s="44"/>
      <c r="R17" s="32">
        <v>0</v>
      </c>
      <c r="S17" s="32">
        <f>+S18-S15-S13</f>
        <v>16.6666666666666</v>
      </c>
      <c r="T17" s="27">
        <v>0</v>
      </c>
    </row>
    <row r="18" spans="1:20" ht="15.75" thickBot="1" x14ac:dyDescent="0.3">
      <c r="A18" s="44"/>
      <c r="B18" s="24" t="s">
        <v>62</v>
      </c>
      <c r="E18" s="44"/>
      <c r="F18" s="27"/>
      <c r="G18" s="27"/>
      <c r="I18" s="43"/>
      <c r="K18" s="44"/>
      <c r="L18" s="39">
        <f>+R18</f>
        <v>775.00000000000011</v>
      </c>
      <c r="M18" s="39">
        <f>SUM(M12:M17)</f>
        <v>400</v>
      </c>
      <c r="N18" s="39">
        <f>SUM(N12:N17)</f>
        <v>300</v>
      </c>
      <c r="O18" s="24"/>
      <c r="Q18" s="44"/>
      <c r="R18" s="39">
        <f>SUM(R12:R17)</f>
        <v>775.00000000000011</v>
      </c>
      <c r="S18" s="39">
        <f>+M18</f>
        <v>400</v>
      </c>
      <c r="T18" s="39">
        <f>+N18</f>
        <v>300</v>
      </c>
    </row>
    <row r="19" spans="1:20" ht="15.75" thickTop="1" x14ac:dyDescent="0.25">
      <c r="A19" s="44"/>
      <c r="B19" s="24" t="s">
        <v>75</v>
      </c>
      <c r="E19" s="44"/>
      <c r="F19" s="27">
        <f>+O4</f>
        <v>275.00000000000011</v>
      </c>
      <c r="G19" s="27"/>
      <c r="I19" s="43"/>
      <c r="K19" s="44"/>
      <c r="L19" s="34"/>
      <c r="N19" s="34"/>
      <c r="O19" s="24"/>
      <c r="Q19" s="44"/>
      <c r="R19" s="34"/>
      <c r="S19" s="34"/>
      <c r="T19" s="44"/>
    </row>
    <row r="20" spans="1:20" x14ac:dyDescent="0.25">
      <c r="A20" s="44"/>
      <c r="B20" s="24" t="s">
        <v>75</v>
      </c>
      <c r="E20" s="44"/>
      <c r="F20" s="27">
        <f t="shared" ref="F20:F21" si="1">+O5</f>
        <v>183.3333333333334</v>
      </c>
      <c r="G20" s="27"/>
      <c r="I20" s="119"/>
      <c r="J20" s="118"/>
      <c r="K20" s="208"/>
      <c r="L20" s="209"/>
      <c r="M20" s="118"/>
      <c r="N20" s="209"/>
      <c r="O20" s="118"/>
      <c r="P20" s="118"/>
      <c r="Q20" s="208"/>
      <c r="R20" s="209"/>
      <c r="S20" s="209"/>
      <c r="T20" s="208"/>
    </row>
    <row r="21" spans="1:20" x14ac:dyDescent="0.25">
      <c r="A21" s="44"/>
      <c r="B21" s="24" t="s">
        <v>66</v>
      </c>
      <c r="E21" s="44"/>
      <c r="F21" s="27">
        <f t="shared" si="1"/>
        <v>91.6666666666667</v>
      </c>
      <c r="G21" s="32">
        <f>SUM(F19:F21)</f>
        <v>550.00000000000023</v>
      </c>
      <c r="O21" s="24"/>
    </row>
    <row r="22" spans="1:20" ht="15.75" thickBot="1" x14ac:dyDescent="0.3">
      <c r="A22" s="44"/>
      <c r="E22" s="44"/>
      <c r="F22" s="27"/>
      <c r="G22" s="51">
        <f>+G16-G21</f>
        <v>0</v>
      </c>
      <c r="N22" s="21" t="s">
        <v>71</v>
      </c>
      <c r="O22" s="21"/>
    </row>
    <row r="23" spans="1:20" ht="15.75" thickTop="1" x14ac:dyDescent="0.25">
      <c r="A23" s="44"/>
      <c r="B23" s="119"/>
      <c r="C23" s="118"/>
      <c r="D23" s="118"/>
      <c r="E23" s="208"/>
      <c r="F23" s="174"/>
      <c r="G23" s="174"/>
      <c r="I23" s="205"/>
      <c r="J23" s="122"/>
      <c r="K23" s="204"/>
      <c r="L23" s="206" t="s">
        <v>75</v>
      </c>
      <c r="M23" s="207" t="s">
        <v>75</v>
      </c>
      <c r="N23" s="206" t="s">
        <v>66</v>
      </c>
      <c r="O23" s="122"/>
      <c r="P23" s="122"/>
      <c r="Q23" s="204"/>
      <c r="R23" s="206" t="s">
        <v>75</v>
      </c>
      <c r="S23" s="207" t="s">
        <v>75</v>
      </c>
      <c r="T23" s="206" t="s">
        <v>66</v>
      </c>
    </row>
    <row r="24" spans="1:20" x14ac:dyDescent="0.25">
      <c r="I24" s="43" t="s">
        <v>73</v>
      </c>
      <c r="K24" s="44"/>
      <c r="L24" s="34">
        <v>600</v>
      </c>
      <c r="M24" s="24">
        <v>600</v>
      </c>
      <c r="N24" s="34"/>
      <c r="O24" s="24" t="s">
        <v>68</v>
      </c>
      <c r="Q24" s="44"/>
      <c r="R24" s="34">
        <v>3000</v>
      </c>
      <c r="S24" s="34">
        <v>2000</v>
      </c>
      <c r="T24" s="44">
        <v>1000</v>
      </c>
    </row>
    <row r="25" spans="1:20" x14ac:dyDescent="0.25">
      <c r="I25" s="139" t="s">
        <v>74</v>
      </c>
      <c r="K25" s="44"/>
      <c r="L25" s="34"/>
      <c r="N25" s="34">
        <f>+N29-N26</f>
        <v>1092</v>
      </c>
      <c r="O25" s="24" t="s">
        <v>73</v>
      </c>
      <c r="Q25" s="44"/>
      <c r="R25" s="34">
        <v>600</v>
      </c>
      <c r="S25" s="34">
        <v>400</v>
      </c>
      <c r="T25" s="44">
        <v>200</v>
      </c>
    </row>
    <row r="26" spans="1:20" x14ac:dyDescent="0.25">
      <c r="I26" s="24" t="s">
        <v>67</v>
      </c>
      <c r="K26" s="44"/>
      <c r="L26" s="34"/>
      <c r="N26" s="34">
        <v>108</v>
      </c>
      <c r="O26" s="24"/>
      <c r="Q26" s="44"/>
      <c r="R26" s="46"/>
      <c r="S26" s="46"/>
      <c r="T26" s="47"/>
    </row>
    <row r="27" spans="1:20" x14ac:dyDescent="0.25">
      <c r="I27" s="43"/>
      <c r="K27" s="44"/>
      <c r="L27" s="34"/>
      <c r="N27" s="34"/>
      <c r="O27" s="24"/>
      <c r="Q27" s="44"/>
      <c r="R27" s="34"/>
      <c r="S27" s="34"/>
      <c r="T27" s="44"/>
    </row>
    <row r="28" spans="1:20" x14ac:dyDescent="0.25">
      <c r="B28" s="49"/>
      <c r="D28" s="49"/>
      <c r="I28" s="43" t="s">
        <v>68</v>
      </c>
      <c r="K28" s="44"/>
      <c r="L28" s="34">
        <f>+L29-L24</f>
        <v>3000</v>
      </c>
      <c r="M28" s="34">
        <f>+M29-M24</f>
        <v>1800</v>
      </c>
      <c r="N28" s="46"/>
      <c r="O28" s="24"/>
      <c r="Q28" s="44"/>
      <c r="R28" s="34"/>
      <c r="S28" s="34"/>
      <c r="T28" s="44"/>
    </row>
    <row r="29" spans="1:20" ht="15.75" thickBot="1" x14ac:dyDescent="0.3">
      <c r="B29" s="49"/>
      <c r="D29" s="49"/>
      <c r="I29" s="43"/>
      <c r="K29" s="44"/>
      <c r="L29" s="48">
        <f>+R29</f>
        <v>3600</v>
      </c>
      <c r="M29" s="48">
        <f t="shared" ref="M29:N29" si="2">+S29</f>
        <v>2400</v>
      </c>
      <c r="N29" s="48">
        <f t="shared" si="2"/>
        <v>1200</v>
      </c>
      <c r="O29" s="24"/>
      <c r="Q29" s="44"/>
      <c r="R29" s="48">
        <f>SUM(R24:R28)</f>
        <v>3600</v>
      </c>
      <c r="S29" s="48">
        <f t="shared" ref="S29" si="3">SUM(S24:S28)</f>
        <v>2400</v>
      </c>
      <c r="T29" s="48">
        <f>SUM(T24:T28)</f>
        <v>1200</v>
      </c>
    </row>
    <row r="30" spans="1:20" ht="15.75" thickTop="1" x14ac:dyDescent="0.25">
      <c r="D30" s="49"/>
      <c r="I30" s="43"/>
      <c r="K30" s="44"/>
      <c r="L30" s="34"/>
      <c r="N30" s="34"/>
      <c r="O30" s="24"/>
      <c r="Q30" s="44"/>
      <c r="R30" s="34"/>
      <c r="S30" s="34"/>
      <c r="T30" s="44"/>
    </row>
    <row r="31" spans="1:20" x14ac:dyDescent="0.25">
      <c r="B31" s="49"/>
      <c r="D31" s="49"/>
      <c r="I31" s="119"/>
      <c r="J31" s="118"/>
      <c r="K31" s="208"/>
      <c r="L31" s="209"/>
      <c r="M31" s="118"/>
      <c r="N31" s="209"/>
      <c r="O31" s="118"/>
      <c r="P31" s="118"/>
      <c r="Q31" s="208"/>
      <c r="R31" s="209"/>
      <c r="S31" s="209"/>
      <c r="T31" s="208"/>
    </row>
    <row r="32" spans="1:20" x14ac:dyDescent="0.25">
      <c r="D32" s="49"/>
    </row>
    <row r="33" spans="2:4" x14ac:dyDescent="0.25">
      <c r="B33" s="49"/>
      <c r="D33" s="49"/>
    </row>
    <row r="34" spans="2:4" x14ac:dyDescent="0.25">
      <c r="B34" s="49"/>
      <c r="D34" s="49"/>
    </row>
    <row r="35" spans="2:4" x14ac:dyDescent="0.25">
      <c r="B35" s="49"/>
      <c r="D35" s="49"/>
    </row>
    <row r="37" spans="2:4" x14ac:dyDescent="0.25">
      <c r="D37" s="50"/>
    </row>
  </sheetData>
  <pageMargins left="0.7" right="0.7" top="0.75" bottom="0.75" header="0.3" footer="0.3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AEEA8-41AF-48E7-BD07-94B947E185C2}">
  <dimension ref="A3:K47"/>
  <sheetViews>
    <sheetView zoomScaleNormal="100" workbookViewId="0">
      <selection activeCell="A22" sqref="A22"/>
    </sheetView>
  </sheetViews>
  <sheetFormatPr defaultRowHeight="15" x14ac:dyDescent="0.25"/>
  <cols>
    <col min="3" max="3" width="18.28515625" bestFit="1" customWidth="1"/>
    <col min="4" max="4" width="18" style="6" bestFit="1" customWidth="1"/>
    <col min="5" max="5" width="12.7109375" style="6" bestFit="1" customWidth="1"/>
    <col min="6" max="6" width="12.28515625" bestFit="1" customWidth="1"/>
    <col min="7" max="7" width="13.28515625" style="6" bestFit="1" customWidth="1"/>
    <col min="8" max="8" width="12.7109375" bestFit="1" customWidth="1"/>
    <col min="9" max="9" width="12.28515625" bestFit="1" customWidth="1"/>
    <col min="10" max="10" width="13.28515625" style="6" bestFit="1" customWidth="1"/>
    <col min="11" max="11" width="14.28515625" style="6" bestFit="1" customWidth="1"/>
  </cols>
  <sheetData>
    <row r="3" spans="1:11" x14ac:dyDescent="0.25">
      <c r="A3" s="4" t="s">
        <v>76</v>
      </c>
    </row>
    <row r="5" spans="1:11" x14ac:dyDescent="0.25">
      <c r="B5" s="239" t="s">
        <v>77</v>
      </c>
      <c r="C5" s="236" t="s">
        <v>78</v>
      </c>
      <c r="D5" s="237"/>
      <c r="E5" s="238"/>
      <c r="F5" s="236" t="s">
        <v>85</v>
      </c>
      <c r="G5" s="237"/>
      <c r="H5" s="238"/>
      <c r="I5" s="236" t="s">
        <v>79</v>
      </c>
      <c r="J5" s="237"/>
      <c r="K5" s="238"/>
    </row>
    <row r="6" spans="1:11" x14ac:dyDescent="0.25">
      <c r="B6" s="240"/>
      <c r="C6" s="30" t="s">
        <v>80</v>
      </c>
      <c r="D6" s="54" t="s">
        <v>81</v>
      </c>
      <c r="E6" s="54" t="s">
        <v>82</v>
      </c>
      <c r="F6" s="30" t="s">
        <v>80</v>
      </c>
      <c r="G6" s="54" t="s">
        <v>81</v>
      </c>
      <c r="H6" s="30" t="s">
        <v>82</v>
      </c>
      <c r="I6" s="30" t="s">
        <v>80</v>
      </c>
      <c r="J6" s="54" t="s">
        <v>81</v>
      </c>
      <c r="K6" s="54" t="s">
        <v>82</v>
      </c>
    </row>
    <row r="7" spans="1:11" x14ac:dyDescent="0.25">
      <c r="B7" s="30"/>
      <c r="C7" s="30"/>
      <c r="D7" s="54"/>
      <c r="E7" s="54"/>
      <c r="F7" s="30"/>
      <c r="G7" s="54"/>
      <c r="H7" s="30"/>
      <c r="I7" s="30"/>
      <c r="J7" s="54"/>
      <c r="K7" s="54"/>
    </row>
    <row r="8" spans="1:11" x14ac:dyDescent="0.25">
      <c r="B8" s="52" t="s">
        <v>83</v>
      </c>
      <c r="C8" s="30"/>
      <c r="D8" s="54"/>
      <c r="E8" s="54"/>
      <c r="F8" s="30"/>
      <c r="G8" s="54"/>
      <c r="H8" s="30"/>
      <c r="I8" s="30">
        <v>1000</v>
      </c>
      <c r="J8" s="54">
        <v>80</v>
      </c>
      <c r="K8" s="54">
        <f>+I8*J8</f>
        <v>80000</v>
      </c>
    </row>
    <row r="9" spans="1:11" x14ac:dyDescent="0.25">
      <c r="B9" s="30"/>
      <c r="C9" s="30"/>
      <c r="D9" s="54"/>
      <c r="E9" s="54"/>
      <c r="F9" s="30"/>
      <c r="G9" s="54"/>
      <c r="H9" s="30"/>
      <c r="I9" s="30"/>
      <c r="J9" s="54"/>
      <c r="K9" s="54"/>
    </row>
    <row r="10" spans="1:11" x14ac:dyDescent="0.25">
      <c r="B10" s="53" t="s">
        <v>83</v>
      </c>
      <c r="C10" s="30">
        <v>2000</v>
      </c>
      <c r="D10" s="54">
        <v>85</v>
      </c>
      <c r="E10" s="54">
        <f>+C10*D10</f>
        <v>170000</v>
      </c>
      <c r="F10" s="30"/>
      <c r="G10" s="54"/>
      <c r="H10" s="30"/>
      <c r="I10" s="30">
        <v>1000</v>
      </c>
      <c r="J10" s="54">
        <v>80</v>
      </c>
      <c r="K10" s="54">
        <v>80000</v>
      </c>
    </row>
    <row r="11" spans="1:11" x14ac:dyDescent="0.25">
      <c r="B11" s="30"/>
      <c r="C11" s="30"/>
      <c r="D11" s="54"/>
      <c r="E11" s="54"/>
      <c r="F11" s="30"/>
      <c r="G11" s="54"/>
      <c r="H11" s="30"/>
      <c r="I11" s="30">
        <v>2000</v>
      </c>
      <c r="J11" s="54">
        <v>85</v>
      </c>
      <c r="K11" s="54">
        <v>170000</v>
      </c>
    </row>
    <row r="12" spans="1:11" ht="15.75" thickBot="1" x14ac:dyDescent="0.3">
      <c r="B12" s="30"/>
      <c r="C12" s="30"/>
      <c r="D12" s="54"/>
      <c r="E12" s="54"/>
      <c r="F12" s="30"/>
      <c r="G12" s="54"/>
      <c r="H12" s="30"/>
      <c r="I12" s="57">
        <f>SUM(I10:I11)</f>
        <v>3000</v>
      </c>
      <c r="J12" s="54"/>
      <c r="K12" s="58">
        <f>SUM(K10:K11)</f>
        <v>250000</v>
      </c>
    </row>
    <row r="13" spans="1:11" ht="15.75" thickTop="1" x14ac:dyDescent="0.25">
      <c r="B13" s="30"/>
      <c r="C13" s="30"/>
      <c r="D13" s="54"/>
      <c r="E13" s="54"/>
      <c r="F13" s="30"/>
      <c r="G13" s="54"/>
      <c r="H13" s="30"/>
      <c r="I13" s="42"/>
      <c r="J13" s="54"/>
      <c r="K13" s="56"/>
    </row>
    <row r="14" spans="1:11" x14ac:dyDescent="0.25">
      <c r="B14" s="53" t="s">
        <v>84</v>
      </c>
      <c r="C14" s="30"/>
      <c r="D14" s="54"/>
      <c r="E14" s="54"/>
      <c r="F14" s="30">
        <v>1000</v>
      </c>
      <c r="G14" s="54">
        <v>80</v>
      </c>
      <c r="H14" s="55">
        <f>+F14*G14</f>
        <v>80000</v>
      </c>
      <c r="I14" s="30">
        <v>1500</v>
      </c>
      <c r="J14" s="54">
        <v>85</v>
      </c>
      <c r="K14" s="54">
        <f>+I14*J14</f>
        <v>127500</v>
      </c>
    </row>
    <row r="15" spans="1:11" x14ac:dyDescent="0.25">
      <c r="B15" s="30"/>
      <c r="C15" s="30"/>
      <c r="D15" s="54"/>
      <c r="E15" s="54"/>
      <c r="F15" s="30">
        <v>500</v>
      </c>
      <c r="G15" s="54">
        <v>85</v>
      </c>
      <c r="H15" s="55">
        <f>+F15*G15</f>
        <v>42500</v>
      </c>
      <c r="I15" s="30"/>
      <c r="J15" s="54"/>
      <c r="K15" s="54"/>
    </row>
    <row r="16" spans="1:11" ht="15.75" thickBot="1" x14ac:dyDescent="0.3">
      <c r="B16" s="30"/>
      <c r="C16" s="30"/>
      <c r="D16" s="54"/>
      <c r="E16" s="54"/>
      <c r="F16" s="57">
        <f>SUM(F14:F15)</f>
        <v>1500</v>
      </c>
      <c r="G16" s="54"/>
      <c r="H16" s="59">
        <f>SUM(H14:H15)</f>
        <v>122500</v>
      </c>
      <c r="I16" s="30"/>
      <c r="J16" s="54"/>
      <c r="K16" s="54"/>
    </row>
    <row r="17" spans="1:11" ht="15.75" thickTop="1" x14ac:dyDescent="0.25">
      <c r="B17" s="30"/>
      <c r="C17" s="30"/>
      <c r="D17" s="54"/>
      <c r="E17" s="54"/>
      <c r="F17" s="42"/>
      <c r="G17" s="54"/>
      <c r="H17" s="42"/>
      <c r="I17" s="30"/>
      <c r="J17" s="54"/>
      <c r="K17" s="54"/>
    </row>
    <row r="18" spans="1:11" x14ac:dyDescent="0.25">
      <c r="B18" s="53" t="s">
        <v>86</v>
      </c>
      <c r="C18" s="30"/>
      <c r="D18" s="54"/>
      <c r="E18" s="54"/>
      <c r="F18" s="30">
        <v>1000</v>
      </c>
      <c r="G18" s="54">
        <v>85</v>
      </c>
      <c r="H18" s="55">
        <f>+F18*G18</f>
        <v>85000</v>
      </c>
      <c r="I18" s="30">
        <v>500</v>
      </c>
      <c r="J18" s="54">
        <v>85</v>
      </c>
      <c r="K18" s="54">
        <f>+I18*J18</f>
        <v>42500</v>
      </c>
    </row>
    <row r="19" spans="1:11" x14ac:dyDescent="0.25">
      <c r="B19" s="30"/>
      <c r="C19" s="30"/>
      <c r="D19" s="54"/>
      <c r="E19" s="54"/>
      <c r="F19" s="30"/>
      <c r="G19" s="54"/>
      <c r="H19" s="30"/>
      <c r="I19" s="30"/>
      <c r="J19" s="54"/>
      <c r="K19" s="54"/>
    </row>
    <row r="20" spans="1:11" x14ac:dyDescent="0.25">
      <c r="B20" s="53" t="s">
        <v>87</v>
      </c>
      <c r="C20" s="30">
        <v>1500</v>
      </c>
      <c r="D20" s="54">
        <v>87</v>
      </c>
      <c r="E20" s="54">
        <f>+C20*D20</f>
        <v>130500</v>
      </c>
      <c r="F20" s="30"/>
      <c r="G20" s="54"/>
      <c r="H20" s="30"/>
      <c r="I20" s="30">
        <v>500</v>
      </c>
      <c r="J20" s="54">
        <v>85</v>
      </c>
      <c r="K20" s="54">
        <f>+I20*J20</f>
        <v>42500</v>
      </c>
    </row>
    <row r="21" spans="1:11" x14ac:dyDescent="0.25">
      <c r="B21" s="30"/>
      <c r="C21" s="30"/>
      <c r="D21" s="54"/>
      <c r="E21" s="54"/>
      <c r="F21" s="30"/>
      <c r="G21" s="54"/>
      <c r="H21" s="30"/>
      <c r="I21" s="30">
        <v>1500</v>
      </c>
      <c r="J21" s="54">
        <v>87</v>
      </c>
      <c r="K21" s="54">
        <f>+I21*J21</f>
        <v>130500</v>
      </c>
    </row>
    <row r="22" spans="1:11" ht="15.75" thickBot="1" x14ac:dyDescent="0.3">
      <c r="B22" s="30"/>
      <c r="C22" s="30"/>
      <c r="D22" s="54"/>
      <c r="E22" s="54"/>
      <c r="F22" s="30"/>
      <c r="G22" s="54"/>
      <c r="H22" s="30"/>
      <c r="I22" s="57">
        <f>SUM(I20:I21)</f>
        <v>2000</v>
      </c>
      <c r="J22" s="54"/>
      <c r="K22" s="58">
        <f>SUM(K20:K21)</f>
        <v>173000</v>
      </c>
    </row>
    <row r="23" spans="1:11" ht="15.75" thickTop="1" x14ac:dyDescent="0.25">
      <c r="B23" s="30"/>
      <c r="C23" s="30"/>
      <c r="D23" s="54"/>
      <c r="E23" s="54"/>
      <c r="F23" s="30"/>
      <c r="G23" s="54"/>
      <c r="H23" s="30"/>
      <c r="I23" s="42"/>
      <c r="J23" s="54"/>
      <c r="K23" s="56"/>
    </row>
    <row r="24" spans="1:11" x14ac:dyDescent="0.25">
      <c r="B24" s="53" t="s">
        <v>88</v>
      </c>
      <c r="C24" s="30"/>
      <c r="D24" s="54"/>
      <c r="E24" s="54"/>
      <c r="F24" s="30">
        <v>500</v>
      </c>
      <c r="G24" s="54">
        <v>85</v>
      </c>
      <c r="H24" s="55">
        <f>+F24*G24</f>
        <v>42500</v>
      </c>
      <c r="I24" s="42">
        <v>1000</v>
      </c>
      <c r="J24" s="54">
        <v>87</v>
      </c>
      <c r="K24" s="60">
        <f>+I24*J24</f>
        <v>87000</v>
      </c>
    </row>
    <row r="25" spans="1:11" x14ac:dyDescent="0.25">
      <c r="B25" s="30"/>
      <c r="C25" s="30"/>
      <c r="D25" s="54"/>
      <c r="E25" s="54"/>
      <c r="F25" s="30">
        <v>500</v>
      </c>
      <c r="G25" s="54">
        <v>87</v>
      </c>
      <c r="H25" s="55">
        <f>+F25*G25</f>
        <v>43500</v>
      </c>
      <c r="I25" s="42"/>
      <c r="J25" s="54"/>
      <c r="K25" s="56"/>
    </row>
    <row r="26" spans="1:11" ht="15.75" thickBot="1" x14ac:dyDescent="0.3">
      <c r="B26" s="30"/>
      <c r="C26" s="30"/>
      <c r="D26" s="54"/>
      <c r="E26" s="54"/>
      <c r="F26" s="57">
        <f>SUM(F24:F25)</f>
        <v>1000</v>
      </c>
      <c r="G26" s="54"/>
      <c r="H26" s="59">
        <f>SUM(H24:H25)</f>
        <v>86000</v>
      </c>
      <c r="I26" s="42"/>
      <c r="J26" s="54"/>
      <c r="K26" s="56"/>
    </row>
    <row r="27" spans="1:11" ht="15.75" thickTop="1" x14ac:dyDescent="0.25">
      <c r="B27" s="30"/>
      <c r="C27" s="30"/>
      <c r="D27" s="54"/>
      <c r="E27" s="54"/>
      <c r="F27" s="42"/>
      <c r="G27" s="54"/>
      <c r="H27" s="42"/>
      <c r="I27" s="30"/>
      <c r="J27" s="54"/>
      <c r="K27" s="54"/>
    </row>
    <row r="30" spans="1:11" x14ac:dyDescent="0.25">
      <c r="A30" s="4" t="s">
        <v>89</v>
      </c>
    </row>
    <row r="32" spans="1:11" ht="15.75" x14ac:dyDescent="0.25">
      <c r="C32" s="14" t="s">
        <v>90</v>
      </c>
      <c r="E32" s="6">
        <v>320464</v>
      </c>
    </row>
    <row r="34" spans="3:5" ht="15.75" x14ac:dyDescent="0.25">
      <c r="C34" s="14" t="s">
        <v>91</v>
      </c>
    </row>
    <row r="35" spans="3:5" x14ac:dyDescent="0.25">
      <c r="C35" t="s">
        <v>92</v>
      </c>
      <c r="D35" s="13" t="s">
        <v>93</v>
      </c>
      <c r="E35" s="6">
        <f>10*100</f>
        <v>1000</v>
      </c>
    </row>
    <row r="36" spans="3:5" ht="15.75" x14ac:dyDescent="0.25">
      <c r="C36" s="14" t="s">
        <v>66</v>
      </c>
      <c r="D36" s="13" t="s">
        <v>94</v>
      </c>
      <c r="E36" s="6">
        <f>12*120</f>
        <v>1440</v>
      </c>
    </row>
    <row r="38" spans="3:5" ht="15.75" x14ac:dyDescent="0.25">
      <c r="C38" s="14" t="s">
        <v>95</v>
      </c>
    </row>
    <row r="39" spans="3:5" x14ac:dyDescent="0.25">
      <c r="C39" t="s">
        <v>92</v>
      </c>
      <c r="D39" s="13" t="s">
        <v>96</v>
      </c>
      <c r="E39" s="6">
        <f>+(40)*100</f>
        <v>4000</v>
      </c>
    </row>
    <row r="40" spans="3:5" ht="15.75" x14ac:dyDescent="0.25">
      <c r="C40" s="14" t="s">
        <v>66</v>
      </c>
      <c r="D40" s="13" t="s">
        <v>97</v>
      </c>
      <c r="E40" s="6">
        <f>+(70)*120</f>
        <v>8400</v>
      </c>
    </row>
    <row r="42" spans="3:5" ht="15.75" x14ac:dyDescent="0.25">
      <c r="C42" s="14" t="s">
        <v>98</v>
      </c>
    </row>
    <row r="43" spans="3:5" x14ac:dyDescent="0.25">
      <c r="C43" t="s">
        <v>92</v>
      </c>
      <c r="D43" s="13" t="s">
        <v>99</v>
      </c>
      <c r="E43" s="6">
        <f>+(78000/5000)*100</f>
        <v>1560</v>
      </c>
    </row>
    <row r="44" spans="3:5" ht="15.75" x14ac:dyDescent="0.25">
      <c r="C44" s="14" t="s">
        <v>66</v>
      </c>
      <c r="D44" s="13" t="s">
        <v>100</v>
      </c>
      <c r="E44" s="6">
        <f>+(78000/5000)*120</f>
        <v>1872</v>
      </c>
    </row>
    <row r="46" spans="3:5" ht="15.75" thickBot="1" x14ac:dyDescent="0.3">
      <c r="E46" s="61">
        <f>SUM(E32:E44)</f>
        <v>338736</v>
      </c>
    </row>
    <row r="47" spans="3:5" ht="15.75" thickTop="1" x14ac:dyDescent="0.25"/>
  </sheetData>
  <mergeCells count="4">
    <mergeCell ref="C5:E5"/>
    <mergeCell ref="F5:H5"/>
    <mergeCell ref="I5:K5"/>
    <mergeCell ref="B5:B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DBE31-E3D7-4A98-B20F-DBF5B7C1FCC2}">
  <dimension ref="B3:H49"/>
  <sheetViews>
    <sheetView zoomScaleNormal="100" workbookViewId="0">
      <selection activeCell="B21" sqref="B21"/>
    </sheetView>
  </sheetViews>
  <sheetFormatPr defaultRowHeight="15" x14ac:dyDescent="0.25"/>
  <cols>
    <col min="2" max="2" width="24.42578125" bestFit="1" customWidth="1"/>
    <col min="3" max="3" width="31" bestFit="1" customWidth="1"/>
    <col min="4" max="4" width="13.28515625" style="11" bestFit="1" customWidth="1"/>
    <col min="5" max="5" width="25.28515625" style="11" bestFit="1" customWidth="1"/>
    <col min="6" max="6" width="12.28515625" style="11" customWidth="1"/>
    <col min="7" max="7" width="11.7109375" style="11" customWidth="1"/>
    <col min="8" max="8" width="12" style="11" customWidth="1"/>
  </cols>
  <sheetData>
    <row r="3" spans="2:8" ht="15.75" x14ac:dyDescent="0.25">
      <c r="B3" s="243" t="s">
        <v>101</v>
      </c>
      <c r="C3" s="239" t="s">
        <v>102</v>
      </c>
      <c r="D3" s="245" t="s">
        <v>103</v>
      </c>
      <c r="E3" s="241" t="s">
        <v>104</v>
      </c>
      <c r="F3" s="242"/>
      <c r="G3" s="241" t="s">
        <v>107</v>
      </c>
      <c r="H3" s="242"/>
    </row>
    <row r="4" spans="2:8" ht="15.75" x14ac:dyDescent="0.25">
      <c r="B4" s="244"/>
      <c r="C4" s="240"/>
      <c r="D4" s="246"/>
      <c r="E4" s="63" t="s">
        <v>105</v>
      </c>
      <c r="F4" s="63" t="s">
        <v>106</v>
      </c>
      <c r="G4" s="64" t="s">
        <v>108</v>
      </c>
      <c r="H4" s="64" t="s">
        <v>109</v>
      </c>
    </row>
    <row r="5" spans="2:8" x14ac:dyDescent="0.25">
      <c r="B5" s="30"/>
      <c r="C5" s="30"/>
      <c r="D5" s="65"/>
      <c r="E5" s="65"/>
      <c r="F5" s="65"/>
      <c r="G5" s="65"/>
      <c r="H5" s="65"/>
    </row>
    <row r="6" spans="2:8" ht="15.75" x14ac:dyDescent="0.25">
      <c r="B6" s="62" t="s">
        <v>110</v>
      </c>
      <c r="C6" s="14" t="s">
        <v>111</v>
      </c>
      <c r="D6" s="65">
        <f>SUM(E6:H6)</f>
        <v>405000</v>
      </c>
      <c r="E6" s="65">
        <v>250000</v>
      </c>
      <c r="F6" s="65">
        <v>120000</v>
      </c>
      <c r="G6" s="65">
        <v>25000</v>
      </c>
      <c r="H6" s="65">
        <v>10000</v>
      </c>
    </row>
    <row r="7" spans="2:8" x14ac:dyDescent="0.25">
      <c r="B7" s="30"/>
      <c r="C7" s="30"/>
      <c r="D7" s="65"/>
      <c r="E7" s="65"/>
      <c r="F7" s="65"/>
      <c r="G7" s="65"/>
      <c r="H7" s="65"/>
    </row>
    <row r="8" spans="2:8" ht="15.75" x14ac:dyDescent="0.25">
      <c r="B8" s="62" t="s">
        <v>112</v>
      </c>
      <c r="C8" s="14" t="s">
        <v>113</v>
      </c>
      <c r="D8" s="65">
        <v>1210000</v>
      </c>
      <c r="E8" s="65">
        <f>+(1210000/242)*104</f>
        <v>520000</v>
      </c>
      <c r="F8" s="65">
        <f>+(1210000/242)*84</f>
        <v>420000</v>
      </c>
      <c r="G8" s="65">
        <f>+(1210000/242)*52</f>
        <v>260000</v>
      </c>
      <c r="H8" s="65">
        <f>+(1210000/242)*2</f>
        <v>10000</v>
      </c>
    </row>
    <row r="9" spans="2:8" x14ac:dyDescent="0.25">
      <c r="B9" s="30"/>
      <c r="C9" s="30"/>
      <c r="D9" s="65"/>
      <c r="E9" s="65"/>
      <c r="F9" s="65"/>
      <c r="G9" s="65"/>
      <c r="H9" s="65"/>
    </row>
    <row r="10" spans="2:8" ht="15.75" x14ac:dyDescent="0.25">
      <c r="B10" s="62" t="s">
        <v>114</v>
      </c>
      <c r="C10" s="66" t="s">
        <v>115</v>
      </c>
      <c r="D10" s="65">
        <v>525000</v>
      </c>
      <c r="E10" s="65">
        <f>+(525000/175)*100</f>
        <v>300000</v>
      </c>
      <c r="F10" s="65">
        <f>+(525000/175)*50</f>
        <v>150000</v>
      </c>
      <c r="G10" s="65">
        <f>+(525000/175)*20</f>
        <v>60000</v>
      </c>
      <c r="H10" s="65">
        <f>+(525000/175)*5</f>
        <v>15000</v>
      </c>
    </row>
    <row r="11" spans="2:8" x14ac:dyDescent="0.25">
      <c r="B11" s="30"/>
      <c r="C11" s="30"/>
      <c r="D11" s="65"/>
      <c r="E11" s="65"/>
      <c r="F11" s="65"/>
      <c r="G11" s="65"/>
      <c r="H11" s="65"/>
    </row>
    <row r="12" spans="2:8" ht="15.75" x14ac:dyDescent="0.25">
      <c r="B12" s="62" t="s">
        <v>116</v>
      </c>
      <c r="C12" s="14" t="s">
        <v>113</v>
      </c>
      <c r="D12" s="65">
        <v>363000</v>
      </c>
      <c r="E12" s="65">
        <f>+(363000/242)*104</f>
        <v>156000</v>
      </c>
      <c r="F12" s="65">
        <f>+(363000/242)*84</f>
        <v>126000</v>
      </c>
      <c r="G12" s="65">
        <f>+(363000/242)*52</f>
        <v>78000</v>
      </c>
      <c r="H12" s="65">
        <f>+(363000/242)*2</f>
        <v>3000</v>
      </c>
    </row>
    <row r="13" spans="2:8" x14ac:dyDescent="0.25">
      <c r="B13" s="30"/>
      <c r="C13" s="30"/>
      <c r="D13" s="65"/>
      <c r="E13" s="65"/>
      <c r="F13" s="65"/>
      <c r="G13" s="65"/>
      <c r="H13" s="65"/>
    </row>
    <row r="14" spans="2:8" ht="15.75" x14ac:dyDescent="0.25">
      <c r="B14" s="62" t="s">
        <v>117</v>
      </c>
      <c r="C14" s="14" t="s">
        <v>118</v>
      </c>
      <c r="D14" s="65">
        <v>544000</v>
      </c>
      <c r="E14" s="65">
        <f>+(544000/17)*10</f>
        <v>320000</v>
      </c>
      <c r="F14" s="65">
        <f>+(544000/17)*5</f>
        <v>160000</v>
      </c>
      <c r="G14" s="65">
        <f>+(544000/17)*2</f>
        <v>64000</v>
      </c>
      <c r="H14" s="65">
        <v>0</v>
      </c>
    </row>
    <row r="15" spans="2:8" x14ac:dyDescent="0.25">
      <c r="B15" s="30"/>
      <c r="C15" s="30"/>
      <c r="D15" s="65"/>
      <c r="E15" s="65"/>
      <c r="F15" s="65"/>
      <c r="G15" s="65"/>
      <c r="H15" s="65"/>
    </row>
    <row r="16" spans="2:8" ht="16.5" thickBot="1" x14ac:dyDescent="0.3">
      <c r="B16" s="30" t="s">
        <v>119</v>
      </c>
      <c r="C16" s="66" t="s">
        <v>115</v>
      </c>
      <c r="D16" s="68">
        <v>1400000</v>
      </c>
      <c r="E16" s="68">
        <f>+(1400000/175)*100</f>
        <v>800000</v>
      </c>
      <c r="F16" s="68">
        <f>+(1400000/175)*50</f>
        <v>400000</v>
      </c>
      <c r="G16" s="68">
        <f>+(1400000/175)*20</f>
        <v>160000</v>
      </c>
      <c r="H16" s="68">
        <f>+(1400000/175)*5</f>
        <v>40000</v>
      </c>
    </row>
    <row r="17" spans="2:8" x14ac:dyDescent="0.25">
      <c r="B17" s="30"/>
      <c r="C17" s="30"/>
      <c r="D17" s="67">
        <f>SUM(D5:D16)</f>
        <v>4447000</v>
      </c>
      <c r="E17" s="210">
        <f>SUM(E5:E16)</f>
        <v>2346000</v>
      </c>
      <c r="F17" s="210">
        <f t="shared" ref="F17:H17" si="0">SUM(F5:F16)</f>
        <v>1376000</v>
      </c>
      <c r="G17" s="210">
        <f t="shared" si="0"/>
        <v>647000</v>
      </c>
      <c r="H17" s="210">
        <f t="shared" si="0"/>
        <v>78000</v>
      </c>
    </row>
    <row r="18" spans="2:8" x14ac:dyDescent="0.25">
      <c r="B18" s="30"/>
      <c r="C18" s="30"/>
      <c r="D18" s="67"/>
      <c r="E18" s="67"/>
      <c r="F18" s="67"/>
      <c r="G18" s="67"/>
      <c r="H18" s="67"/>
    </row>
    <row r="19" spans="2:8" ht="15.75" x14ac:dyDescent="0.25">
      <c r="B19" s="215" t="s">
        <v>108</v>
      </c>
      <c r="C19" s="206" t="s">
        <v>120</v>
      </c>
      <c r="D19" s="212"/>
      <c r="E19" s="216">
        <f>-G19*0.6</f>
        <v>388200</v>
      </c>
      <c r="F19" s="216">
        <f>-G19*0.3</f>
        <v>194100</v>
      </c>
      <c r="G19" s="217">
        <v>-647000</v>
      </c>
      <c r="H19" s="216">
        <f>-G19*0.1</f>
        <v>64700</v>
      </c>
    </row>
    <row r="20" spans="2:8" ht="15.75" x14ac:dyDescent="0.25">
      <c r="B20" s="215" t="s">
        <v>109</v>
      </c>
      <c r="C20" s="206" t="s">
        <v>121</v>
      </c>
      <c r="D20" s="212"/>
      <c r="E20" s="216">
        <f>-H20*0.4</f>
        <v>57080</v>
      </c>
      <c r="F20" s="216">
        <f>-H20*0.4</f>
        <v>57080</v>
      </c>
      <c r="G20" s="216">
        <f>-H20*0.2</f>
        <v>28540</v>
      </c>
      <c r="H20" s="217">
        <f>-SUM(H17:H19)</f>
        <v>-142700</v>
      </c>
    </row>
    <row r="21" spans="2:8" ht="15.75" x14ac:dyDescent="0.25">
      <c r="B21" s="215" t="s">
        <v>108</v>
      </c>
      <c r="C21" s="206" t="s">
        <v>120</v>
      </c>
      <c r="D21" s="213"/>
      <c r="E21" s="161">
        <f>-G21*0.6</f>
        <v>17124</v>
      </c>
      <c r="F21" s="161">
        <f>-G21*0.3</f>
        <v>8562</v>
      </c>
      <c r="G21" s="218">
        <f>-G20</f>
        <v>-28540</v>
      </c>
      <c r="H21" s="161">
        <f>-G21*0.1</f>
        <v>2854</v>
      </c>
    </row>
    <row r="22" spans="2:8" ht="15.75" x14ac:dyDescent="0.25">
      <c r="B22" s="215" t="s">
        <v>109</v>
      </c>
      <c r="C22" s="206" t="s">
        <v>121</v>
      </c>
      <c r="D22" s="213"/>
      <c r="E22" s="161">
        <f>-H22*0.4</f>
        <v>1141.6000000000001</v>
      </c>
      <c r="F22" s="161">
        <f>-H22*0.4</f>
        <v>1141.6000000000001</v>
      </c>
      <c r="G22" s="161">
        <f>-H22*0.2</f>
        <v>570.80000000000007</v>
      </c>
      <c r="H22" s="218">
        <f>-H21</f>
        <v>-2854</v>
      </c>
    </row>
    <row r="23" spans="2:8" ht="15.75" x14ac:dyDescent="0.25">
      <c r="B23" s="215" t="s">
        <v>108</v>
      </c>
      <c r="C23" s="206" t="s">
        <v>120</v>
      </c>
      <c r="D23" s="213"/>
      <c r="E23" s="161">
        <f>-G23*0.6</f>
        <v>342.48</v>
      </c>
      <c r="F23" s="161">
        <f>-G23*0.3</f>
        <v>171.24</v>
      </c>
      <c r="G23" s="218">
        <f>-G22</f>
        <v>-570.80000000000007</v>
      </c>
      <c r="H23" s="161">
        <f>-G23*0.1</f>
        <v>57.080000000000013</v>
      </c>
    </row>
    <row r="24" spans="2:8" ht="15.75" x14ac:dyDescent="0.25">
      <c r="B24" s="215" t="s">
        <v>109</v>
      </c>
      <c r="C24" s="206" t="s">
        <v>121</v>
      </c>
      <c r="D24" s="213"/>
      <c r="E24" s="161">
        <f>-H24*0.4</f>
        <v>22.832000000000008</v>
      </c>
      <c r="F24" s="161">
        <f>-H24*0.4</f>
        <v>22.832000000000008</v>
      </c>
      <c r="G24" s="161">
        <f>-H24*0.2</f>
        <v>11.416000000000004</v>
      </c>
      <c r="H24" s="218">
        <f>-H23</f>
        <v>-57.080000000000013</v>
      </c>
    </row>
    <row r="25" spans="2:8" ht="15.75" x14ac:dyDescent="0.25">
      <c r="B25" s="215" t="s">
        <v>108</v>
      </c>
      <c r="C25" s="206" t="s">
        <v>120</v>
      </c>
      <c r="D25" s="213"/>
      <c r="E25" s="161">
        <f>-G25*0.6</f>
        <v>6.8496000000000024</v>
      </c>
      <c r="F25" s="161">
        <f>-G25*0.3</f>
        <v>3.4248000000000012</v>
      </c>
      <c r="G25" s="218">
        <f>-G24</f>
        <v>-11.416000000000004</v>
      </c>
      <c r="H25" s="161">
        <f>-G25*0.1</f>
        <v>1.1416000000000004</v>
      </c>
    </row>
    <row r="26" spans="2:8" ht="15.75" x14ac:dyDescent="0.25">
      <c r="B26" s="215" t="s">
        <v>109</v>
      </c>
      <c r="C26" s="206" t="s">
        <v>121</v>
      </c>
      <c r="D26" s="213"/>
      <c r="E26" s="126">
        <f>-H26*0.4</f>
        <v>0.45664000000000016</v>
      </c>
      <c r="F26" s="126">
        <f>-H26*0.4</f>
        <v>0.45664000000000016</v>
      </c>
      <c r="G26" s="126">
        <f>-H26*0.2</f>
        <v>0.22832000000000008</v>
      </c>
      <c r="H26" s="218">
        <f>-H25</f>
        <v>-1.1416000000000004</v>
      </c>
    </row>
    <row r="27" spans="2:8" ht="15.75" thickBot="1" x14ac:dyDescent="0.3">
      <c r="B27" s="211"/>
      <c r="C27" s="211"/>
      <c r="D27" s="213"/>
      <c r="E27" s="219">
        <f>-G27*0.5</f>
        <v>0.11416000000000004</v>
      </c>
      <c r="F27" s="219">
        <f>-G27*0.5</f>
        <v>0.11416000000000004</v>
      </c>
      <c r="G27" s="220">
        <f>-G26</f>
        <v>-0.22832000000000008</v>
      </c>
      <c r="H27" s="214">
        <v>0</v>
      </c>
    </row>
    <row r="28" spans="2:8" x14ac:dyDescent="0.25">
      <c r="B28" s="30" t="s">
        <v>122</v>
      </c>
      <c r="C28" s="30"/>
      <c r="D28" s="65"/>
      <c r="E28" s="210">
        <f>SUM(E17:E27)</f>
        <v>2809918.3323999997</v>
      </c>
      <c r="F28" s="210">
        <f>SUM(F17:F27)</f>
        <v>1637081.6676</v>
      </c>
      <c r="G28" s="67">
        <f t="shared" ref="G28:H28" si="1">SUM(G17:G27)</f>
        <v>0</v>
      </c>
      <c r="H28" s="67">
        <f t="shared" si="1"/>
        <v>0</v>
      </c>
    </row>
    <row r="29" spans="2:8" x14ac:dyDescent="0.25">
      <c r="B29" s="30"/>
      <c r="C29" s="30"/>
      <c r="D29" s="65"/>
      <c r="E29" s="65"/>
      <c r="F29" s="65"/>
      <c r="G29" s="65"/>
      <c r="H29" s="65"/>
    </row>
    <row r="32" spans="2:8" ht="16.5" thickBot="1" x14ac:dyDescent="0.3">
      <c r="B32" s="14" t="s">
        <v>124</v>
      </c>
      <c r="C32" s="69" t="s">
        <v>123</v>
      </c>
      <c r="E32" s="73" t="s">
        <v>128</v>
      </c>
      <c r="F32" s="74"/>
    </row>
    <row r="33" spans="2:6" ht="15.75" x14ac:dyDescent="0.25">
      <c r="C33" s="66" t="s">
        <v>125</v>
      </c>
    </row>
    <row r="34" spans="2:6" ht="15.75" x14ac:dyDescent="0.25">
      <c r="E34" s="226" t="s">
        <v>272</v>
      </c>
      <c r="F34" s="227">
        <v>20</v>
      </c>
    </row>
    <row r="35" spans="2:6" ht="15.75" x14ac:dyDescent="0.25">
      <c r="E35" s="226" t="s">
        <v>273</v>
      </c>
      <c r="F35" s="227">
        <v>10</v>
      </c>
    </row>
    <row r="36" spans="2:6" ht="18.75" thickBot="1" x14ac:dyDescent="0.45">
      <c r="B36" s="71" t="s">
        <v>126</v>
      </c>
      <c r="C36" s="223">
        <f>+E28</f>
        <v>2809918.3323999997</v>
      </c>
      <c r="E36" s="228" t="s">
        <v>129</v>
      </c>
      <c r="F36" s="150"/>
    </row>
    <row r="37" spans="2:6" ht="15.75" x14ac:dyDescent="0.25">
      <c r="C37" s="49">
        <v>100000</v>
      </c>
      <c r="E37" s="229" t="s">
        <v>105</v>
      </c>
      <c r="F37" s="227">
        <f>28.1*0.5</f>
        <v>14.05</v>
      </c>
    </row>
    <row r="38" spans="2:6" x14ac:dyDescent="0.25">
      <c r="C38" s="222"/>
      <c r="E38" s="230" t="s">
        <v>130</v>
      </c>
      <c r="F38" s="150"/>
    </row>
    <row r="39" spans="2:6" ht="15.75" x14ac:dyDescent="0.25">
      <c r="B39" s="70" t="s">
        <v>45</v>
      </c>
      <c r="C39" s="225">
        <f>+E28/100000</f>
        <v>28.099183323999998</v>
      </c>
      <c r="E39" s="229" t="s">
        <v>106</v>
      </c>
      <c r="F39" s="227"/>
    </row>
    <row r="40" spans="2:6" x14ac:dyDescent="0.25">
      <c r="C40" s="222"/>
      <c r="E40" s="230" t="s">
        <v>131</v>
      </c>
      <c r="F40" s="227">
        <f>8.19*1</f>
        <v>8.19</v>
      </c>
    </row>
    <row r="41" spans="2:6" x14ac:dyDescent="0.25">
      <c r="C41" s="222"/>
      <c r="E41" s="221"/>
      <c r="F41" s="150"/>
    </row>
    <row r="42" spans="2:6" ht="16.5" thickBot="1" x14ac:dyDescent="0.3">
      <c r="B42" s="71" t="s">
        <v>127</v>
      </c>
      <c r="C42" s="223">
        <f>+F28</f>
        <v>1637081.6676</v>
      </c>
      <c r="E42" s="221"/>
      <c r="F42" s="231">
        <f>SUM(F34:F41)</f>
        <v>52.239999999999995</v>
      </c>
    </row>
    <row r="43" spans="2:6" x14ac:dyDescent="0.25">
      <c r="C43" s="49">
        <v>200000</v>
      </c>
      <c r="F43" s="6"/>
    </row>
    <row r="44" spans="2:6" x14ac:dyDescent="0.25">
      <c r="C44" s="222"/>
      <c r="F44" s="6"/>
    </row>
    <row r="45" spans="2:6" x14ac:dyDescent="0.25">
      <c r="B45" s="72" t="s">
        <v>45</v>
      </c>
      <c r="C45" s="224">
        <f>+C42/C43</f>
        <v>8.1854083380000002</v>
      </c>
      <c r="F45" s="6"/>
    </row>
    <row r="46" spans="2:6" x14ac:dyDescent="0.25">
      <c r="C46" s="222"/>
      <c r="F46" s="6"/>
    </row>
    <row r="47" spans="2:6" x14ac:dyDescent="0.25">
      <c r="C47" s="222"/>
      <c r="F47" s="6"/>
    </row>
    <row r="48" spans="2:6" x14ac:dyDescent="0.25">
      <c r="C48" s="222"/>
    </row>
    <row r="49" spans="3:3" x14ac:dyDescent="0.25">
      <c r="C49" s="222"/>
    </row>
  </sheetData>
  <mergeCells count="5">
    <mergeCell ref="E3:F3"/>
    <mergeCell ref="G3:H3"/>
    <mergeCell ref="B3:B4"/>
    <mergeCell ref="C3:C4"/>
    <mergeCell ref="D3:D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CA3B3-6BC6-48BC-B7D1-0A0D6F5354BA}">
  <dimension ref="A4:L81"/>
  <sheetViews>
    <sheetView zoomScaleNormal="100" workbookViewId="0">
      <selection activeCell="B20" sqref="B20"/>
    </sheetView>
  </sheetViews>
  <sheetFormatPr defaultRowHeight="15" x14ac:dyDescent="0.25"/>
  <cols>
    <col min="6" max="6" width="11.5703125" bestFit="1" customWidth="1"/>
    <col min="7" max="7" width="9.140625" style="11"/>
    <col min="8" max="8" width="11.5703125" style="11" bestFit="1" customWidth="1"/>
    <col min="9" max="9" width="9.7109375" bestFit="1" customWidth="1"/>
    <col min="10" max="10" width="11.5703125" bestFit="1" customWidth="1"/>
    <col min="12" max="12" width="9.5703125" style="11" bestFit="1" customWidth="1"/>
  </cols>
  <sheetData>
    <row r="4" spans="1:12" ht="15.75" x14ac:dyDescent="0.25">
      <c r="A4" s="16" t="s">
        <v>132</v>
      </c>
      <c r="G4" s="63" t="s">
        <v>133</v>
      </c>
    </row>
    <row r="5" spans="1:12" x14ac:dyDescent="0.25">
      <c r="C5" s="29" t="s">
        <v>134</v>
      </c>
      <c r="D5" s="29"/>
      <c r="E5" s="29"/>
      <c r="F5" s="29"/>
      <c r="G5" s="76">
        <f>20*1000</f>
        <v>20000</v>
      </c>
      <c r="H5" s="79" t="s">
        <v>134</v>
      </c>
      <c r="I5" s="29"/>
      <c r="J5" s="29"/>
      <c r="K5" s="29"/>
      <c r="L5" s="79">
        <v>3000</v>
      </c>
    </row>
    <row r="6" spans="1:12" x14ac:dyDescent="0.25">
      <c r="C6" t="s">
        <v>137</v>
      </c>
      <c r="G6" s="77"/>
      <c r="H6" s="11" t="s">
        <v>136</v>
      </c>
    </row>
    <row r="7" spans="1:12" x14ac:dyDescent="0.25">
      <c r="G7" s="77"/>
    </row>
    <row r="8" spans="1:12" ht="15.75" x14ac:dyDescent="0.25">
      <c r="C8" t="s">
        <v>142</v>
      </c>
      <c r="G8" s="77">
        <f>400*1000</f>
        <v>400000</v>
      </c>
      <c r="H8" s="63" t="s">
        <v>144</v>
      </c>
      <c r="L8" s="11">
        <f>5*1000</f>
        <v>5000</v>
      </c>
    </row>
    <row r="9" spans="1:12" x14ac:dyDescent="0.25">
      <c r="C9" s="10" t="s">
        <v>143</v>
      </c>
      <c r="G9" s="77"/>
      <c r="H9" s="75" t="s">
        <v>145</v>
      </c>
    </row>
    <row r="10" spans="1:12" x14ac:dyDescent="0.25">
      <c r="G10" s="77"/>
    </row>
    <row r="11" spans="1:12" ht="15.75" x14ac:dyDescent="0.25">
      <c r="G11" s="77"/>
      <c r="H11" s="63" t="s">
        <v>146</v>
      </c>
      <c r="L11" s="87">
        <f>+L16-L8-L5</f>
        <v>412000</v>
      </c>
    </row>
    <row r="12" spans="1:12" x14ac:dyDescent="0.25">
      <c r="G12" s="77"/>
    </row>
    <row r="13" spans="1:12" x14ac:dyDescent="0.25">
      <c r="G13" s="77"/>
    </row>
    <row r="14" spans="1:12" x14ac:dyDescent="0.25">
      <c r="G14" s="77"/>
    </row>
    <row r="15" spans="1:12" x14ac:dyDescent="0.25">
      <c r="C15" t="s">
        <v>135</v>
      </c>
      <c r="G15" s="77">
        <v>0</v>
      </c>
      <c r="H15" s="11" t="s">
        <v>135</v>
      </c>
      <c r="L15" s="11">
        <v>0</v>
      </c>
    </row>
    <row r="16" spans="1:12" ht="15.75" thickBot="1" x14ac:dyDescent="0.3">
      <c r="G16" s="78">
        <f>SUM(G5:G15)</f>
        <v>420000</v>
      </c>
      <c r="L16" s="80">
        <f>+G16</f>
        <v>420000</v>
      </c>
    </row>
    <row r="17" spans="3:12" ht="15.75" thickTop="1" x14ac:dyDescent="0.25">
      <c r="G17" s="77"/>
    </row>
    <row r="18" spans="3:12" x14ac:dyDescent="0.25">
      <c r="G18" s="77"/>
    </row>
    <row r="20" spans="3:12" ht="15.75" x14ac:dyDescent="0.25">
      <c r="G20" s="14" t="s">
        <v>138</v>
      </c>
    </row>
    <row r="21" spans="3:12" ht="15.75" x14ac:dyDescent="0.25">
      <c r="C21" s="29" t="s">
        <v>134</v>
      </c>
      <c r="D21" s="29"/>
      <c r="E21" s="29"/>
      <c r="F21" s="29"/>
      <c r="G21" s="76">
        <v>175000</v>
      </c>
      <c r="H21" s="88" t="s">
        <v>147</v>
      </c>
      <c r="I21" s="29"/>
      <c r="J21" s="29"/>
      <c r="K21" s="29"/>
      <c r="L21" s="79">
        <v>10000</v>
      </c>
    </row>
    <row r="22" spans="3:12" x14ac:dyDescent="0.25">
      <c r="G22" s="77"/>
    </row>
    <row r="23" spans="3:12" ht="15.75" x14ac:dyDescent="0.25">
      <c r="C23" t="s">
        <v>152</v>
      </c>
      <c r="G23" s="77">
        <v>412000</v>
      </c>
      <c r="H23" s="14" t="s">
        <v>148</v>
      </c>
      <c r="L23" s="11">
        <v>100000</v>
      </c>
    </row>
    <row r="24" spans="3:12" x14ac:dyDescent="0.25">
      <c r="G24" s="77"/>
    </row>
    <row r="25" spans="3:12" x14ac:dyDescent="0.25">
      <c r="G25" s="77"/>
      <c r="H25" s="11" t="s">
        <v>149</v>
      </c>
      <c r="L25" s="11">
        <v>50000</v>
      </c>
    </row>
    <row r="26" spans="3:12" x14ac:dyDescent="0.25">
      <c r="G26" s="77"/>
    </row>
    <row r="27" spans="3:12" x14ac:dyDescent="0.25">
      <c r="G27" s="77"/>
      <c r="H27" s="11" t="s">
        <v>150</v>
      </c>
      <c r="L27" s="11">
        <v>10000</v>
      </c>
    </row>
    <row r="28" spans="3:12" x14ac:dyDescent="0.25">
      <c r="G28" s="77"/>
    </row>
    <row r="29" spans="3:12" x14ac:dyDescent="0.25">
      <c r="G29" s="77"/>
      <c r="H29" s="11" t="s">
        <v>154</v>
      </c>
      <c r="L29" s="11">
        <v>50000</v>
      </c>
    </row>
    <row r="30" spans="3:12" x14ac:dyDescent="0.25">
      <c r="G30" s="77"/>
    </row>
    <row r="31" spans="3:12" x14ac:dyDescent="0.25">
      <c r="G31" s="77"/>
    </row>
    <row r="32" spans="3:12" x14ac:dyDescent="0.25">
      <c r="G32" s="77"/>
      <c r="H32" s="11" t="s">
        <v>135</v>
      </c>
      <c r="L32" s="87">
        <f>+L33-L27-L25-L23-L21-L29</f>
        <v>367000</v>
      </c>
    </row>
    <row r="33" spans="3:12" ht="15.75" thickBot="1" x14ac:dyDescent="0.3">
      <c r="G33" s="78">
        <f>SUM(G21:G32)</f>
        <v>587000</v>
      </c>
      <c r="L33" s="80">
        <f>+G33</f>
        <v>587000</v>
      </c>
    </row>
    <row r="34" spans="3:12" ht="15.75" thickTop="1" x14ac:dyDescent="0.25">
      <c r="G34" s="77"/>
    </row>
    <row r="35" spans="3:12" x14ac:dyDescent="0.25">
      <c r="G35" s="77"/>
    </row>
    <row r="37" spans="3:12" ht="15.75" x14ac:dyDescent="0.25">
      <c r="C37" s="14" t="s">
        <v>139</v>
      </c>
    </row>
    <row r="38" spans="3:12" x14ac:dyDescent="0.25">
      <c r="C38" s="28"/>
      <c r="D38" s="29"/>
      <c r="E38" s="29"/>
      <c r="F38" s="29"/>
      <c r="G38" s="79"/>
      <c r="H38" s="89"/>
      <c r="I38" s="19"/>
    </row>
    <row r="39" spans="3:12" ht="15.75" thickBot="1" x14ac:dyDescent="0.3">
      <c r="C39" s="83" t="s">
        <v>140</v>
      </c>
      <c r="G39" s="82"/>
      <c r="H39" s="90"/>
      <c r="I39" s="18"/>
    </row>
    <row r="40" spans="3:12" ht="15.75" thickBot="1" x14ac:dyDescent="0.3">
      <c r="C40" s="86" t="s">
        <v>142</v>
      </c>
      <c r="G40" s="82"/>
      <c r="H40" s="94">
        <f>+G8</f>
        <v>400000</v>
      </c>
      <c r="I40" s="84">
        <f>+H40</f>
        <v>400000</v>
      </c>
    </row>
    <row r="41" spans="3:12" x14ac:dyDescent="0.25">
      <c r="C41" s="31"/>
      <c r="G41" s="82"/>
      <c r="H41" s="90"/>
      <c r="I41" s="18"/>
    </row>
    <row r="42" spans="3:12" ht="15.75" thickBot="1" x14ac:dyDescent="0.3">
      <c r="C42" s="83" t="s">
        <v>141</v>
      </c>
      <c r="G42" s="82"/>
      <c r="H42" s="90"/>
      <c r="I42" s="18"/>
    </row>
    <row r="43" spans="3:12" x14ac:dyDescent="0.25">
      <c r="C43" s="31"/>
      <c r="G43" s="82"/>
      <c r="H43" s="90"/>
      <c r="I43" s="18"/>
    </row>
    <row r="44" spans="3:12" ht="15.75" x14ac:dyDescent="0.25">
      <c r="C44" s="85" t="s">
        <v>144</v>
      </c>
      <c r="G44" s="82"/>
      <c r="H44" s="90">
        <f>+L8</f>
        <v>5000</v>
      </c>
      <c r="I44" s="18"/>
    </row>
    <row r="45" spans="3:12" ht="15.75" x14ac:dyDescent="0.25">
      <c r="C45" s="85" t="s">
        <v>147</v>
      </c>
      <c r="G45" s="82"/>
      <c r="H45" s="90">
        <v>10000</v>
      </c>
      <c r="I45" s="18"/>
    </row>
    <row r="46" spans="3:12" x14ac:dyDescent="0.25">
      <c r="C46" s="31" t="s">
        <v>149</v>
      </c>
      <c r="G46" s="82"/>
      <c r="H46" s="90">
        <v>50000</v>
      </c>
      <c r="I46" s="18"/>
    </row>
    <row r="47" spans="3:12" x14ac:dyDescent="0.25">
      <c r="C47" s="31" t="s">
        <v>150</v>
      </c>
      <c r="G47" s="82"/>
      <c r="H47" s="90">
        <v>10000</v>
      </c>
      <c r="I47" s="18"/>
    </row>
    <row r="48" spans="3:12" x14ac:dyDescent="0.25">
      <c r="C48" s="31" t="s">
        <v>153</v>
      </c>
      <c r="G48" s="82"/>
      <c r="H48" s="90">
        <v>20000</v>
      </c>
      <c r="I48" s="18"/>
    </row>
    <row r="49" spans="3:10" ht="15.75" thickBot="1" x14ac:dyDescent="0.3">
      <c r="C49" s="31" t="s">
        <v>155</v>
      </c>
      <c r="G49" s="82"/>
      <c r="H49" s="94">
        <v>40000</v>
      </c>
      <c r="I49" s="95">
        <f>-SUM(H44:H49)</f>
        <v>-135000</v>
      </c>
    </row>
    <row r="50" spans="3:10" x14ac:dyDescent="0.25">
      <c r="C50" s="31"/>
      <c r="G50" s="82"/>
      <c r="H50" s="90"/>
      <c r="I50" s="18"/>
    </row>
    <row r="51" spans="3:10" ht="15.75" thickBot="1" x14ac:dyDescent="0.3">
      <c r="C51" s="31" t="s">
        <v>156</v>
      </c>
      <c r="G51" s="82"/>
      <c r="H51" s="90"/>
      <c r="I51" s="96">
        <f>+I40+I49</f>
        <v>265000</v>
      </c>
    </row>
    <row r="52" spans="3:10" ht="15.75" thickTop="1" x14ac:dyDescent="0.25">
      <c r="C52" s="40"/>
      <c r="D52" s="8"/>
      <c r="E52" s="8"/>
      <c r="F52" s="8"/>
      <c r="G52" s="81"/>
      <c r="H52" s="67"/>
      <c r="I52" s="41"/>
    </row>
    <row r="55" spans="3:10" ht="15.75" x14ac:dyDescent="0.25">
      <c r="F55" s="14" t="s">
        <v>148</v>
      </c>
    </row>
    <row r="56" spans="3:10" x14ac:dyDescent="0.25">
      <c r="C56" s="29" t="s">
        <v>134</v>
      </c>
      <c r="D56" s="29"/>
      <c r="E56" s="29"/>
      <c r="F56" s="76">
        <v>100000</v>
      </c>
      <c r="G56" s="79" t="s">
        <v>153</v>
      </c>
      <c r="H56" s="79"/>
      <c r="I56" s="29"/>
      <c r="J56" s="93">
        <f>+J63-J62</f>
        <v>20000</v>
      </c>
    </row>
    <row r="57" spans="3:10" x14ac:dyDescent="0.25">
      <c r="F57" s="18"/>
    </row>
    <row r="58" spans="3:10" x14ac:dyDescent="0.25">
      <c r="C58" t="s">
        <v>138</v>
      </c>
      <c r="F58" s="77">
        <v>100000</v>
      </c>
    </row>
    <row r="59" spans="3:10" x14ac:dyDescent="0.25">
      <c r="F59" s="18"/>
    </row>
    <row r="60" spans="3:10" x14ac:dyDescent="0.25">
      <c r="F60" s="18"/>
    </row>
    <row r="61" spans="3:10" x14ac:dyDescent="0.25">
      <c r="F61" s="18"/>
    </row>
    <row r="62" spans="3:10" x14ac:dyDescent="0.25">
      <c r="F62" s="18"/>
      <c r="G62" s="11" t="s">
        <v>135</v>
      </c>
      <c r="J62" s="11">
        <v>180000</v>
      </c>
    </row>
    <row r="63" spans="3:10" ht="15.75" thickBot="1" x14ac:dyDescent="0.3">
      <c r="F63" s="91">
        <f>SUM(F56:F62)</f>
        <v>200000</v>
      </c>
      <c r="J63" s="92">
        <f>+F63</f>
        <v>200000</v>
      </c>
    </row>
    <row r="64" spans="3:10" ht="15.75" thickTop="1" x14ac:dyDescent="0.25">
      <c r="F64" s="18"/>
    </row>
    <row r="65" spans="3:10" x14ac:dyDescent="0.25">
      <c r="F65" s="18"/>
    </row>
    <row r="66" spans="3:10" x14ac:dyDescent="0.25">
      <c r="F66" s="18"/>
    </row>
    <row r="70" spans="3:10" ht="15.75" x14ac:dyDescent="0.25">
      <c r="F70" s="66" t="s">
        <v>151</v>
      </c>
    </row>
    <row r="71" spans="3:10" x14ac:dyDescent="0.25">
      <c r="C71" s="29" t="s">
        <v>134</v>
      </c>
      <c r="D71" s="29"/>
      <c r="E71" s="29"/>
      <c r="F71" s="76">
        <v>10000</v>
      </c>
      <c r="G71" s="79" t="s">
        <v>139</v>
      </c>
      <c r="H71" s="79"/>
      <c r="I71" s="29"/>
      <c r="J71" s="93">
        <f>+J79-J78</f>
        <v>40000</v>
      </c>
    </row>
    <row r="72" spans="3:10" x14ac:dyDescent="0.25">
      <c r="F72" s="18"/>
    </row>
    <row r="73" spans="3:10" x14ac:dyDescent="0.25">
      <c r="C73" t="s">
        <v>138</v>
      </c>
      <c r="F73" s="77">
        <v>50000</v>
      </c>
    </row>
    <row r="74" spans="3:10" x14ac:dyDescent="0.25">
      <c r="F74" s="18"/>
    </row>
    <row r="75" spans="3:10" x14ac:dyDescent="0.25">
      <c r="F75" s="18"/>
    </row>
    <row r="76" spans="3:10" x14ac:dyDescent="0.25">
      <c r="F76" s="18"/>
    </row>
    <row r="77" spans="3:10" x14ac:dyDescent="0.25">
      <c r="F77" s="18"/>
    </row>
    <row r="78" spans="3:10" x14ac:dyDescent="0.25">
      <c r="F78" s="18"/>
      <c r="G78" s="11" t="s">
        <v>135</v>
      </c>
      <c r="J78" s="11">
        <v>20000</v>
      </c>
    </row>
    <row r="79" spans="3:10" ht="15.75" thickBot="1" x14ac:dyDescent="0.3">
      <c r="F79" s="91">
        <f>SUM(F71:F78)</f>
        <v>60000</v>
      </c>
      <c r="J79" s="92">
        <f>+F79</f>
        <v>60000</v>
      </c>
    </row>
    <row r="80" spans="3:10" ht="15.75" thickTop="1" x14ac:dyDescent="0.25">
      <c r="F80" s="18"/>
    </row>
    <row r="81" spans="6:6" x14ac:dyDescent="0.25">
      <c r="F81" s="18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A7A28-D04B-4415-8C83-29089E1CA727}">
  <dimension ref="B2:AA78"/>
  <sheetViews>
    <sheetView zoomScaleNormal="100" workbookViewId="0">
      <selection activeCell="A21" sqref="A21"/>
    </sheetView>
  </sheetViews>
  <sheetFormatPr defaultRowHeight="15" x14ac:dyDescent="0.25"/>
  <cols>
    <col min="6" max="7" width="10.5703125" style="11" bestFit="1" customWidth="1"/>
    <col min="8" max="8" width="9.7109375" bestFit="1" customWidth="1"/>
    <col min="11" max="11" width="11.85546875" customWidth="1"/>
    <col min="12" max="12" width="11.5703125" bestFit="1" customWidth="1"/>
    <col min="13" max="13" width="11.5703125" style="11" bestFit="1" customWidth="1"/>
    <col min="15" max="16" width="15.42578125" customWidth="1"/>
    <col min="17" max="17" width="11.5703125" style="11" bestFit="1" customWidth="1"/>
    <col min="27" max="27" width="10.5703125" style="11" bestFit="1" customWidth="1"/>
  </cols>
  <sheetData>
    <row r="2" spans="2:27" ht="15.75" x14ac:dyDescent="0.25">
      <c r="C2" s="14" t="s">
        <v>157</v>
      </c>
      <c r="M2" s="63" t="s">
        <v>158</v>
      </c>
      <c r="W2" t="s">
        <v>165</v>
      </c>
    </row>
    <row r="3" spans="2:27" ht="15.75" x14ac:dyDescent="0.25">
      <c r="B3" s="28" t="s">
        <v>166</v>
      </c>
      <c r="C3" s="29"/>
      <c r="D3" s="29"/>
      <c r="E3" s="29"/>
      <c r="F3" s="89">
        <v>5000</v>
      </c>
      <c r="G3" s="76"/>
      <c r="J3" s="97" t="s">
        <v>159</v>
      </c>
      <c r="K3" s="29"/>
      <c r="L3" s="29"/>
      <c r="M3" s="76">
        <v>200000</v>
      </c>
      <c r="N3" s="29" t="s">
        <v>162</v>
      </c>
      <c r="O3" s="29"/>
      <c r="P3" s="29"/>
      <c r="Q3" s="109">
        <v>20000</v>
      </c>
      <c r="T3" s="29"/>
      <c r="U3" s="29"/>
      <c r="V3" s="29"/>
      <c r="W3" s="19"/>
      <c r="X3" s="28" t="s">
        <v>158</v>
      </c>
      <c r="Y3" s="29"/>
      <c r="Z3" s="29"/>
      <c r="AA3" s="109">
        <v>10000</v>
      </c>
    </row>
    <row r="4" spans="2:27" x14ac:dyDescent="0.25">
      <c r="B4" s="31" t="s">
        <v>167</v>
      </c>
      <c r="F4" s="90">
        <v>10000</v>
      </c>
      <c r="G4" s="77"/>
      <c r="J4" t="s">
        <v>165</v>
      </c>
      <c r="M4" s="111">
        <v>10000</v>
      </c>
      <c r="N4" t="s">
        <v>164</v>
      </c>
      <c r="Q4" s="110">
        <v>10000</v>
      </c>
      <c r="W4" s="18"/>
      <c r="X4" s="31" t="s">
        <v>158</v>
      </c>
      <c r="AA4" s="110">
        <v>30000</v>
      </c>
    </row>
    <row r="5" spans="2:27" x14ac:dyDescent="0.25">
      <c r="B5" s="31" t="s">
        <v>168</v>
      </c>
      <c r="F5" s="90">
        <v>75000</v>
      </c>
      <c r="G5" s="77"/>
      <c r="J5" t="s">
        <v>165</v>
      </c>
      <c r="M5" s="111">
        <v>30000</v>
      </c>
      <c r="N5" t="s">
        <v>166</v>
      </c>
      <c r="Q5" s="110">
        <v>5000</v>
      </c>
      <c r="W5" s="18"/>
      <c r="X5" s="31" t="s">
        <v>158</v>
      </c>
      <c r="AA5" s="110">
        <v>40000</v>
      </c>
    </row>
    <row r="6" spans="2:27" ht="15.75" x14ac:dyDescent="0.25">
      <c r="B6" s="85" t="s">
        <v>169</v>
      </c>
      <c r="F6" s="90">
        <v>10000</v>
      </c>
      <c r="G6" s="77"/>
      <c r="J6" t="s">
        <v>165</v>
      </c>
      <c r="M6" s="111">
        <v>40000</v>
      </c>
      <c r="N6" s="31" t="s">
        <v>167</v>
      </c>
      <c r="Q6" s="110">
        <v>10000</v>
      </c>
      <c r="W6" s="18"/>
      <c r="X6" s="31" t="s">
        <v>158</v>
      </c>
      <c r="AA6" s="110">
        <v>60000</v>
      </c>
    </row>
    <row r="7" spans="2:27" x14ac:dyDescent="0.25">
      <c r="B7" s="31" t="s">
        <v>170</v>
      </c>
      <c r="F7" s="90">
        <v>10000</v>
      </c>
      <c r="G7" s="77"/>
      <c r="J7" t="s">
        <v>165</v>
      </c>
      <c r="M7" s="111">
        <v>60000</v>
      </c>
      <c r="N7" t="s">
        <v>162</v>
      </c>
      <c r="Q7" s="110">
        <v>10000</v>
      </c>
      <c r="W7" s="18"/>
      <c r="X7" s="31" t="s">
        <v>158</v>
      </c>
      <c r="AA7" s="110">
        <v>20000</v>
      </c>
    </row>
    <row r="8" spans="2:27" x14ac:dyDescent="0.25">
      <c r="B8" s="31" t="s">
        <v>171</v>
      </c>
      <c r="F8" s="90">
        <v>500</v>
      </c>
      <c r="G8" s="77"/>
      <c r="J8" t="s">
        <v>165</v>
      </c>
      <c r="M8" s="111">
        <v>20000</v>
      </c>
      <c r="N8" t="s">
        <v>168</v>
      </c>
      <c r="Q8" s="110">
        <v>75000</v>
      </c>
      <c r="W8" s="18"/>
      <c r="X8" s="31" t="s">
        <v>158</v>
      </c>
      <c r="AA8" s="110">
        <v>10000</v>
      </c>
    </row>
    <row r="9" spans="2:27" x14ac:dyDescent="0.25">
      <c r="B9" s="31" t="s">
        <v>172</v>
      </c>
      <c r="F9" s="90">
        <v>10000</v>
      </c>
      <c r="G9" s="77"/>
      <c r="J9" t="s">
        <v>165</v>
      </c>
      <c r="M9" s="111">
        <v>10000</v>
      </c>
      <c r="N9" t="s">
        <v>162</v>
      </c>
      <c r="Q9" s="110">
        <v>10000</v>
      </c>
      <c r="W9" s="18"/>
      <c r="X9" t="s">
        <v>181</v>
      </c>
      <c r="AA9" s="110">
        <v>10000</v>
      </c>
    </row>
    <row r="10" spans="2:27" x14ac:dyDescent="0.25">
      <c r="B10" s="31" t="s">
        <v>173</v>
      </c>
      <c r="F10" s="90"/>
      <c r="G10" s="77">
        <v>10000</v>
      </c>
      <c r="J10" t="s">
        <v>182</v>
      </c>
      <c r="M10" s="111">
        <v>250000</v>
      </c>
      <c r="N10" t="s">
        <v>162</v>
      </c>
      <c r="Q10" s="110">
        <v>25000</v>
      </c>
      <c r="W10" s="18"/>
    </row>
    <row r="11" spans="2:27" x14ac:dyDescent="0.25">
      <c r="B11" s="31" t="s">
        <v>174</v>
      </c>
      <c r="F11" s="90"/>
      <c r="G11" s="77">
        <v>500</v>
      </c>
      <c r="M11" s="77"/>
      <c r="T11" s="11" t="s">
        <v>135</v>
      </c>
      <c r="W11" s="107">
        <f>+W12</f>
        <v>180000</v>
      </c>
    </row>
    <row r="12" spans="2:27" ht="15.75" thickBot="1" x14ac:dyDescent="0.3">
      <c r="B12" s="31" t="s">
        <v>174</v>
      </c>
      <c r="F12" s="90"/>
      <c r="G12" s="77">
        <v>10000</v>
      </c>
      <c r="M12" s="77"/>
      <c r="W12" s="91">
        <f>+AA12</f>
        <v>180000</v>
      </c>
      <c r="AA12" s="80">
        <f>SUM(AA3:AA11)</f>
        <v>180000</v>
      </c>
    </row>
    <row r="13" spans="2:27" ht="15.75" thickTop="1" x14ac:dyDescent="0.25">
      <c r="B13" s="31" t="s">
        <v>153</v>
      </c>
      <c r="F13" s="90">
        <v>16667</v>
      </c>
      <c r="G13" s="77"/>
      <c r="M13" s="77"/>
      <c r="N13" s="11" t="s">
        <v>135</v>
      </c>
      <c r="Q13" s="11">
        <f>+Q14-Q10-Q9-Q8-Q7-Q6-Q5-Q3-Q4</f>
        <v>455000</v>
      </c>
      <c r="W13" s="18"/>
    </row>
    <row r="14" spans="2:27" ht="15.75" thickBot="1" x14ac:dyDescent="0.3">
      <c r="B14" s="31" t="s">
        <v>181</v>
      </c>
      <c r="F14" s="90">
        <v>10000</v>
      </c>
      <c r="G14" s="77"/>
      <c r="M14" s="78">
        <f>SUM(M3:M13)</f>
        <v>620000</v>
      </c>
      <c r="Q14" s="80">
        <f>+M14</f>
        <v>620000</v>
      </c>
      <c r="W14" s="18"/>
    </row>
    <row r="15" spans="2:27" ht="15.75" thickTop="1" x14ac:dyDescent="0.25">
      <c r="B15" s="31" t="s">
        <v>182</v>
      </c>
      <c r="F15" s="90"/>
      <c r="G15" s="77">
        <v>250000</v>
      </c>
      <c r="M15" s="77"/>
      <c r="W15" s="18"/>
    </row>
    <row r="16" spans="2:27" x14ac:dyDescent="0.25">
      <c r="B16" s="31" t="s">
        <v>186</v>
      </c>
      <c r="F16" s="90">
        <v>5000</v>
      </c>
      <c r="G16" s="77"/>
      <c r="M16" s="77"/>
    </row>
    <row r="17" spans="2:17" x14ac:dyDescent="0.25">
      <c r="B17" s="31" t="s">
        <v>187</v>
      </c>
      <c r="F17" s="90"/>
      <c r="G17" s="77">
        <v>5000</v>
      </c>
    </row>
    <row r="18" spans="2:17" x14ac:dyDescent="0.25">
      <c r="B18" s="31" t="s">
        <v>158</v>
      </c>
      <c r="F18" s="90">
        <f>+Q13</f>
        <v>455000</v>
      </c>
      <c r="G18" s="77"/>
    </row>
    <row r="19" spans="2:17" ht="15.75" x14ac:dyDescent="0.25">
      <c r="B19" s="106" t="s">
        <v>160</v>
      </c>
      <c r="F19" s="90"/>
      <c r="G19" s="77">
        <f>+M26</f>
        <v>1000000</v>
      </c>
      <c r="Q19" s="82"/>
    </row>
    <row r="20" spans="2:17" x14ac:dyDescent="0.25">
      <c r="B20" s="45" t="s">
        <v>163</v>
      </c>
      <c r="F20" s="90">
        <f>+Q46</f>
        <v>65000</v>
      </c>
      <c r="G20" s="77"/>
    </row>
    <row r="21" spans="2:17" x14ac:dyDescent="0.25">
      <c r="B21" s="31" t="s">
        <v>165</v>
      </c>
      <c r="F21" s="90"/>
      <c r="G21" s="77">
        <f>+W11</f>
        <v>180000</v>
      </c>
    </row>
    <row r="22" spans="2:17" ht="15.75" x14ac:dyDescent="0.25">
      <c r="B22" s="31" t="s">
        <v>161</v>
      </c>
      <c r="F22" s="90">
        <f>+Q34</f>
        <v>783333</v>
      </c>
      <c r="G22" s="77"/>
      <c r="M22" s="98" t="s">
        <v>160</v>
      </c>
    </row>
    <row r="23" spans="2:17" x14ac:dyDescent="0.25">
      <c r="B23" s="31"/>
      <c r="F23" s="90"/>
      <c r="G23" s="77"/>
      <c r="J23" s="29"/>
      <c r="K23" s="29"/>
      <c r="L23" s="29"/>
      <c r="M23" s="76"/>
      <c r="N23" s="29" t="s">
        <v>158</v>
      </c>
      <c r="O23" s="29"/>
      <c r="P23" s="29"/>
      <c r="Q23" s="79">
        <v>200000</v>
      </c>
    </row>
    <row r="24" spans="2:17" ht="15.75" x14ac:dyDescent="0.25">
      <c r="B24" s="31"/>
      <c r="F24" s="90">
        <f>SUM(F3:F23)</f>
        <v>1455500</v>
      </c>
      <c r="G24" s="90">
        <f>SUM(G3:G23)</f>
        <v>1455500</v>
      </c>
      <c r="H24" s="108">
        <f>+G24-F24</f>
        <v>0</v>
      </c>
      <c r="M24" s="77"/>
      <c r="N24" s="14" t="s">
        <v>161</v>
      </c>
      <c r="Q24" s="11">
        <v>800000</v>
      </c>
    </row>
    <row r="25" spans="2:17" x14ac:dyDescent="0.25">
      <c r="B25" s="31"/>
      <c r="F25" s="90"/>
      <c r="G25" s="77"/>
      <c r="M25" s="77"/>
    </row>
    <row r="26" spans="2:17" x14ac:dyDescent="0.25">
      <c r="B26" s="31"/>
      <c r="F26" s="90"/>
      <c r="G26" s="77"/>
      <c r="J26" s="11" t="s">
        <v>135</v>
      </c>
      <c r="M26" s="77">
        <f>+M27</f>
        <v>1000000</v>
      </c>
    </row>
    <row r="27" spans="2:17" ht="15.75" thickBot="1" x14ac:dyDescent="0.3">
      <c r="B27" s="31"/>
      <c r="F27" s="90"/>
      <c r="G27" s="77"/>
      <c r="M27" s="78">
        <f>+Q27</f>
        <v>1000000</v>
      </c>
      <c r="Q27" s="80">
        <f>SUM(Q23:Q26)</f>
        <v>1000000</v>
      </c>
    </row>
    <row r="28" spans="2:17" ht="15.75" thickTop="1" x14ac:dyDescent="0.25">
      <c r="B28" s="31"/>
      <c r="F28" s="90"/>
      <c r="G28" s="77"/>
      <c r="M28" s="77"/>
    </row>
    <row r="29" spans="2:17" x14ac:dyDescent="0.25">
      <c r="B29" s="31"/>
      <c r="F29" s="90"/>
      <c r="G29" s="77"/>
      <c r="M29" s="82"/>
    </row>
    <row r="30" spans="2:17" ht="15.75" x14ac:dyDescent="0.25">
      <c r="B30" s="31"/>
      <c r="F30" s="90"/>
      <c r="G30" s="77"/>
      <c r="M30" s="14" t="s">
        <v>161</v>
      </c>
    </row>
    <row r="31" spans="2:17" x14ac:dyDescent="0.25">
      <c r="B31" s="31"/>
      <c r="F31" s="90"/>
      <c r="G31" s="77"/>
      <c r="J31" s="29" t="s">
        <v>160</v>
      </c>
      <c r="K31" s="29"/>
      <c r="L31" s="29"/>
      <c r="M31" s="76">
        <v>800000</v>
      </c>
      <c r="N31" s="29" t="s">
        <v>153</v>
      </c>
      <c r="O31" s="29"/>
      <c r="P31" s="29"/>
      <c r="Q31" s="79">
        <v>16667</v>
      </c>
    </row>
    <row r="32" spans="2:17" x14ac:dyDescent="0.25">
      <c r="B32" s="31"/>
      <c r="F32" s="90"/>
      <c r="G32" s="77"/>
      <c r="M32" s="77"/>
    </row>
    <row r="33" spans="2:17" x14ac:dyDescent="0.25">
      <c r="B33" s="31"/>
      <c r="F33" s="90"/>
      <c r="G33" s="77"/>
      <c r="M33" s="77"/>
    </row>
    <row r="34" spans="2:17" x14ac:dyDescent="0.25">
      <c r="B34" s="31"/>
      <c r="F34" s="90"/>
      <c r="G34" s="77"/>
      <c r="M34" s="77"/>
      <c r="N34" s="11" t="s">
        <v>135</v>
      </c>
      <c r="Q34" s="11">
        <f>+Q35-Q31</f>
        <v>783333</v>
      </c>
    </row>
    <row r="35" spans="2:17" ht="15.75" thickBot="1" x14ac:dyDescent="0.3">
      <c r="B35" s="31"/>
      <c r="F35" s="90"/>
      <c r="G35" s="77"/>
      <c r="M35" s="78">
        <f>SUM(M31:M34)</f>
        <v>800000</v>
      </c>
      <c r="Q35" s="80">
        <f>+M35</f>
        <v>800000</v>
      </c>
    </row>
    <row r="36" spans="2:17" ht="15.75" thickTop="1" x14ac:dyDescent="0.25">
      <c r="B36" s="31"/>
      <c r="F36" s="90"/>
      <c r="G36" s="77"/>
      <c r="M36" s="77"/>
    </row>
    <row r="37" spans="2:17" x14ac:dyDescent="0.25">
      <c r="B37" s="31"/>
      <c r="F37" s="90"/>
      <c r="G37" s="77"/>
      <c r="M37" s="77"/>
    </row>
    <row r="38" spans="2:17" x14ac:dyDescent="0.25">
      <c r="B38" s="31"/>
      <c r="F38" s="90"/>
      <c r="G38" s="77"/>
      <c r="M38" s="77"/>
    </row>
    <row r="39" spans="2:17" x14ac:dyDescent="0.25">
      <c r="B39" s="31"/>
      <c r="F39" s="90"/>
      <c r="G39" s="77"/>
    </row>
    <row r="40" spans="2:17" x14ac:dyDescent="0.25">
      <c r="B40" s="31"/>
      <c r="F40" s="90"/>
      <c r="G40" s="77"/>
      <c r="M40" s="11" t="s">
        <v>163</v>
      </c>
    </row>
    <row r="41" spans="2:17" x14ac:dyDescent="0.25">
      <c r="B41" s="31"/>
      <c r="F41" s="90"/>
      <c r="G41" s="77"/>
      <c r="J41" s="29" t="s">
        <v>158</v>
      </c>
      <c r="K41" s="29"/>
      <c r="L41" s="29"/>
      <c r="M41" s="112">
        <v>20000</v>
      </c>
      <c r="N41" s="29"/>
      <c r="O41" s="29"/>
      <c r="P41" s="29"/>
      <c r="Q41" s="79"/>
    </row>
    <row r="42" spans="2:17" x14ac:dyDescent="0.25">
      <c r="B42" s="31"/>
      <c r="F42" s="90"/>
      <c r="G42" s="77"/>
      <c r="J42" t="s">
        <v>158</v>
      </c>
      <c r="M42" s="111">
        <v>10000</v>
      </c>
    </row>
    <row r="43" spans="2:17" x14ac:dyDescent="0.25">
      <c r="B43" s="31"/>
      <c r="F43" s="90"/>
      <c r="G43" s="77"/>
      <c r="J43" t="s">
        <v>158</v>
      </c>
      <c r="M43" s="111">
        <v>10000</v>
      </c>
    </row>
    <row r="44" spans="2:17" x14ac:dyDescent="0.25">
      <c r="B44" s="31"/>
      <c r="F44" s="90"/>
      <c r="G44" s="77"/>
      <c r="J44" t="s">
        <v>158</v>
      </c>
      <c r="M44" s="111">
        <v>25000</v>
      </c>
    </row>
    <row r="45" spans="2:17" x14ac:dyDescent="0.25">
      <c r="B45" s="31"/>
      <c r="F45" s="90"/>
      <c r="G45" s="77"/>
      <c r="M45" s="77"/>
    </row>
    <row r="46" spans="2:17" x14ac:dyDescent="0.25">
      <c r="B46" s="31"/>
      <c r="F46" s="90"/>
      <c r="G46" s="77"/>
      <c r="M46" s="77"/>
      <c r="N46" s="11" t="s">
        <v>135</v>
      </c>
      <c r="Q46" s="11">
        <f>+Q47</f>
        <v>65000</v>
      </c>
    </row>
    <row r="47" spans="2:17" ht="15.75" thickBot="1" x14ac:dyDescent="0.3">
      <c r="B47" s="31"/>
      <c r="F47" s="90"/>
      <c r="G47" s="77"/>
      <c r="M47" s="78">
        <f>SUM(M41:M46)</f>
        <v>65000</v>
      </c>
      <c r="Q47" s="80">
        <f>+M47</f>
        <v>65000</v>
      </c>
    </row>
    <row r="48" spans="2:17" ht="15.75" thickTop="1" x14ac:dyDescent="0.25">
      <c r="B48" s="31"/>
      <c r="F48" s="90"/>
      <c r="G48" s="77"/>
      <c r="M48" s="77"/>
    </row>
    <row r="49" spans="2:17" x14ac:dyDescent="0.25">
      <c r="B49" s="31"/>
      <c r="F49" s="90"/>
      <c r="G49" s="77"/>
      <c r="M49" s="77"/>
    </row>
    <row r="50" spans="2:17" x14ac:dyDescent="0.25">
      <c r="B50" s="31"/>
      <c r="F50" s="90"/>
      <c r="G50" s="77"/>
      <c r="M50" s="77"/>
    </row>
    <row r="51" spans="2:17" x14ac:dyDescent="0.25">
      <c r="B51" s="31"/>
      <c r="F51" s="90"/>
      <c r="G51" s="77"/>
    </row>
    <row r="52" spans="2:17" x14ac:dyDescent="0.25">
      <c r="B52" s="31"/>
      <c r="F52" s="90"/>
      <c r="G52" s="77"/>
      <c r="J52" s="101" t="s">
        <v>175</v>
      </c>
      <c r="K52" s="101"/>
      <c r="O52" s="101" t="s">
        <v>183</v>
      </c>
      <c r="P52" s="101"/>
      <c r="Q52" s="87"/>
    </row>
    <row r="53" spans="2:17" ht="15.75" x14ac:dyDescent="0.25">
      <c r="B53" s="31"/>
      <c r="F53" s="90"/>
      <c r="G53" s="77"/>
      <c r="M53" s="14"/>
      <c r="Q53" s="82"/>
    </row>
    <row r="54" spans="2:17" ht="15.75" x14ac:dyDescent="0.25">
      <c r="B54" s="31"/>
      <c r="F54" s="90"/>
      <c r="G54" s="77"/>
      <c r="J54" s="14" t="s">
        <v>176</v>
      </c>
      <c r="L54" s="102">
        <v>800000</v>
      </c>
      <c r="M54" s="82"/>
      <c r="O54" t="s">
        <v>184</v>
      </c>
      <c r="P54" s="82">
        <v>250000</v>
      </c>
      <c r="Q54" s="82"/>
    </row>
    <row r="55" spans="2:17" x14ac:dyDescent="0.25">
      <c r="B55" s="31"/>
      <c r="F55" s="90"/>
      <c r="G55" s="77"/>
      <c r="M55" s="82"/>
      <c r="Q55" s="82"/>
    </row>
    <row r="56" spans="2:17" x14ac:dyDescent="0.25">
      <c r="B56" s="31"/>
      <c r="F56" s="90"/>
      <c r="G56" s="77"/>
      <c r="J56" t="s">
        <v>177</v>
      </c>
      <c r="L56" s="103">
        <v>4</v>
      </c>
      <c r="M56" s="82"/>
      <c r="O56" t="s">
        <v>185</v>
      </c>
      <c r="P56" s="105">
        <v>0.02</v>
      </c>
      <c r="Q56" s="82"/>
    </row>
    <row r="57" spans="2:17" x14ac:dyDescent="0.25">
      <c r="B57" s="31"/>
      <c r="F57" s="90"/>
      <c r="G57" s="77"/>
      <c r="M57" s="82"/>
      <c r="Q57" s="82"/>
    </row>
    <row r="58" spans="2:17" x14ac:dyDescent="0.25">
      <c r="B58" s="31"/>
      <c r="F58" s="90"/>
      <c r="G58" s="77"/>
      <c r="J58" t="s">
        <v>178</v>
      </c>
      <c r="L58" s="102">
        <f>+L54/L56</f>
        <v>200000</v>
      </c>
      <c r="M58" s="82"/>
      <c r="P58" s="4">
        <f>+P54*P56</f>
        <v>5000</v>
      </c>
      <c r="Q58" s="82"/>
    </row>
    <row r="59" spans="2:17" x14ac:dyDescent="0.25">
      <c r="B59" s="31"/>
      <c r="F59" s="90"/>
      <c r="G59" s="77"/>
      <c r="M59" s="82"/>
      <c r="Q59" s="82"/>
    </row>
    <row r="60" spans="2:17" x14ac:dyDescent="0.25">
      <c r="B60" s="40"/>
      <c r="C60" s="8"/>
      <c r="D60" s="8"/>
      <c r="E60" s="8"/>
      <c r="F60" s="67"/>
      <c r="G60" s="99"/>
      <c r="J60" t="s">
        <v>179</v>
      </c>
      <c r="L60" s="10" t="s">
        <v>180</v>
      </c>
      <c r="M60" s="82"/>
      <c r="Q60" s="82"/>
    </row>
    <row r="61" spans="2:17" x14ac:dyDescent="0.25">
      <c r="M61" s="82"/>
      <c r="Q61" s="82"/>
    </row>
    <row r="62" spans="2:17" x14ac:dyDescent="0.25">
      <c r="L62" s="104">
        <f>200000/12</f>
        <v>16666.666666666668</v>
      </c>
      <c r="M62" s="82"/>
      <c r="Q62" s="82"/>
    </row>
    <row r="63" spans="2:17" x14ac:dyDescent="0.25">
      <c r="M63" s="82"/>
      <c r="Q63" s="82"/>
    </row>
    <row r="64" spans="2:17" x14ac:dyDescent="0.25">
      <c r="M64" s="82"/>
      <c r="Q64" s="82"/>
    </row>
    <row r="65" spans="13:17" x14ac:dyDescent="0.25">
      <c r="M65" s="82"/>
      <c r="Q65" s="82"/>
    </row>
    <row r="66" spans="13:17" x14ac:dyDescent="0.25">
      <c r="M66" s="82"/>
      <c r="Q66" s="82"/>
    </row>
    <row r="67" spans="13:17" x14ac:dyDescent="0.25">
      <c r="M67" s="82"/>
      <c r="Q67" s="82"/>
    </row>
    <row r="68" spans="13:17" x14ac:dyDescent="0.25">
      <c r="M68" s="82"/>
      <c r="Q68" s="82"/>
    </row>
    <row r="69" spans="13:17" x14ac:dyDescent="0.25">
      <c r="M69" s="82"/>
      <c r="Q69" s="82"/>
    </row>
    <row r="70" spans="13:17" x14ac:dyDescent="0.25">
      <c r="M70" s="82"/>
      <c r="Q70" s="82"/>
    </row>
    <row r="71" spans="13:17" x14ac:dyDescent="0.25">
      <c r="M71" s="82"/>
      <c r="Q71" s="82"/>
    </row>
    <row r="72" spans="13:17" x14ac:dyDescent="0.25">
      <c r="M72" s="82"/>
      <c r="Q72" s="82"/>
    </row>
    <row r="73" spans="13:17" x14ac:dyDescent="0.25">
      <c r="M73" s="82"/>
      <c r="Q73" s="82"/>
    </row>
    <row r="74" spans="13:17" x14ac:dyDescent="0.25">
      <c r="M74" s="82"/>
      <c r="Q74" s="82"/>
    </row>
    <row r="75" spans="13:17" x14ac:dyDescent="0.25">
      <c r="M75" s="82"/>
      <c r="Q75" s="82"/>
    </row>
    <row r="76" spans="13:17" x14ac:dyDescent="0.25">
      <c r="M76" s="82"/>
      <c r="Q76" s="82"/>
    </row>
    <row r="77" spans="13:17" x14ac:dyDescent="0.25">
      <c r="M77" s="82"/>
      <c r="Q77" s="82"/>
    </row>
    <row r="78" spans="13:17" x14ac:dyDescent="0.25">
      <c r="M78" s="82"/>
      <c r="Q78" s="82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894AA-EFDC-415F-A741-0DB358ECB642}">
  <dimension ref="A2:R58"/>
  <sheetViews>
    <sheetView zoomScaleNormal="100" workbookViewId="0">
      <selection activeCell="A19" sqref="A19"/>
    </sheetView>
  </sheetViews>
  <sheetFormatPr defaultColWidth="9.140625" defaultRowHeight="15" x14ac:dyDescent="0.25"/>
  <cols>
    <col min="1" max="1" width="9.140625" style="24"/>
    <col min="2" max="2" width="11.5703125" style="24" bestFit="1" customWidth="1"/>
    <col min="3" max="4" width="9.140625" style="24"/>
    <col min="5" max="5" width="4.42578125" style="24" customWidth="1"/>
    <col min="6" max="6" width="11.42578125" style="24" customWidth="1"/>
    <col min="7" max="7" width="10.28515625" style="24" bestFit="1" customWidth="1"/>
    <col min="8" max="8" width="12.42578125" style="117" customWidth="1"/>
    <col min="9" max="9" width="13.28515625" style="24" bestFit="1" customWidth="1"/>
    <col min="10" max="10" width="9.140625" style="24"/>
    <col min="11" max="11" width="29.42578125" style="25" customWidth="1"/>
    <col min="12" max="12" width="22.7109375" style="25" bestFit="1" customWidth="1"/>
    <col min="13" max="13" width="22.7109375" style="25" customWidth="1"/>
    <col min="14" max="14" width="20.42578125" style="117" bestFit="1" customWidth="1"/>
    <col min="15" max="15" width="18.140625" style="117" customWidth="1"/>
    <col min="16" max="16" width="15.28515625" style="117" bestFit="1" customWidth="1"/>
    <col min="17" max="17" width="15.28515625" style="25" bestFit="1" customWidth="1"/>
    <col min="18" max="16384" width="9.140625" style="24"/>
  </cols>
  <sheetData>
    <row r="2" spans="1:15" ht="15.75" x14ac:dyDescent="0.25">
      <c r="B2" s="14" t="s">
        <v>266</v>
      </c>
      <c r="K2" s="14" t="s">
        <v>266</v>
      </c>
    </row>
    <row r="3" spans="1:15" x14ac:dyDescent="0.25">
      <c r="B3" s="21" t="s">
        <v>267</v>
      </c>
      <c r="C3" s="21"/>
      <c r="D3" s="21"/>
      <c r="E3" s="21"/>
      <c r="F3" s="21"/>
      <c r="K3" s="21" t="s">
        <v>268</v>
      </c>
    </row>
    <row r="4" spans="1:15" x14ac:dyDescent="0.25">
      <c r="B4" s="118" t="s">
        <v>188</v>
      </c>
      <c r="H4" s="117" t="s">
        <v>189</v>
      </c>
      <c r="J4" s="44"/>
      <c r="K4" s="119" t="s">
        <v>190</v>
      </c>
      <c r="L4" s="120"/>
      <c r="M4" s="33"/>
      <c r="O4" s="121" t="s">
        <v>189</v>
      </c>
    </row>
    <row r="5" spans="1:15" ht="17.25" customHeight="1" x14ac:dyDescent="0.25">
      <c r="A5" s="44"/>
      <c r="B5" s="25" t="s">
        <v>191</v>
      </c>
      <c r="C5" s="122"/>
      <c r="D5" s="122"/>
      <c r="E5" s="122"/>
      <c r="F5" s="122"/>
      <c r="G5" s="123"/>
      <c r="H5" s="124">
        <v>379800</v>
      </c>
      <c r="J5" s="44"/>
      <c r="K5" s="125" t="s">
        <v>192</v>
      </c>
      <c r="M5" s="126" t="s">
        <v>193</v>
      </c>
      <c r="N5" s="126" t="s">
        <v>194</v>
      </c>
      <c r="O5" s="127" t="s">
        <v>195</v>
      </c>
    </row>
    <row r="6" spans="1:15" ht="18" thickBot="1" x14ac:dyDescent="0.45">
      <c r="A6" s="44"/>
      <c r="B6" s="25" t="s">
        <v>196</v>
      </c>
      <c r="E6" s="23"/>
      <c r="G6" s="35"/>
      <c r="H6" s="128">
        <v>-348000</v>
      </c>
      <c r="J6" s="44"/>
      <c r="K6" s="129" t="s">
        <v>197</v>
      </c>
      <c r="L6" s="130"/>
      <c r="M6" s="46"/>
      <c r="N6" s="131"/>
      <c r="O6" s="132"/>
    </row>
    <row r="7" spans="1:15" ht="17.25" x14ac:dyDescent="0.4">
      <c r="A7" s="44"/>
      <c r="B7" s="25" t="s">
        <v>198</v>
      </c>
      <c r="G7" s="35"/>
      <c r="H7" s="133">
        <f>SUM(H5:H6)</f>
        <v>31800</v>
      </c>
      <c r="K7" s="134" t="s">
        <v>199</v>
      </c>
      <c r="L7" s="130"/>
      <c r="M7" s="135">
        <v>10000</v>
      </c>
      <c r="N7" s="46">
        <v>0</v>
      </c>
      <c r="O7" s="132">
        <f>+M7</f>
        <v>10000</v>
      </c>
    </row>
    <row r="8" spans="1:15" ht="17.25" x14ac:dyDescent="0.4">
      <c r="A8" s="44"/>
      <c r="G8" s="35"/>
      <c r="H8" s="136"/>
      <c r="K8" s="134" t="s">
        <v>200</v>
      </c>
      <c r="L8" s="130"/>
      <c r="M8" s="135">
        <v>50000</v>
      </c>
      <c r="N8" s="131">
        <v>10000</v>
      </c>
      <c r="O8" s="132">
        <f>+M8-N8</f>
        <v>40000</v>
      </c>
    </row>
    <row r="9" spans="1:15" ht="15.75" thickBot="1" x14ac:dyDescent="0.3">
      <c r="A9" s="44"/>
      <c r="B9" s="43" t="s">
        <v>201</v>
      </c>
      <c r="G9" s="35"/>
      <c r="H9" s="128">
        <v>0</v>
      </c>
      <c r="K9" s="134" t="s">
        <v>202</v>
      </c>
      <c r="L9" s="137" t="s">
        <v>277</v>
      </c>
      <c r="M9" s="135">
        <f>25000+2000</f>
        <v>27000</v>
      </c>
      <c r="N9" s="131">
        <v>8000</v>
      </c>
      <c r="O9" s="132">
        <f>+M9-N9</f>
        <v>19000</v>
      </c>
    </row>
    <row r="10" spans="1:15" ht="18" thickBot="1" x14ac:dyDescent="0.45">
      <c r="B10" s="43"/>
      <c r="G10" s="35"/>
      <c r="H10" s="133">
        <f>SUM(H7:H9)</f>
        <v>31800</v>
      </c>
      <c r="K10" s="134" t="s">
        <v>203</v>
      </c>
      <c r="L10" s="130"/>
      <c r="M10" s="135">
        <v>18000</v>
      </c>
      <c r="N10" s="131">
        <v>11500</v>
      </c>
      <c r="O10" s="138">
        <f>+M10-N10</f>
        <v>6500</v>
      </c>
    </row>
    <row r="11" spans="1:15" ht="17.25" customHeight="1" thickBot="1" x14ac:dyDescent="0.45">
      <c r="B11" s="43"/>
      <c r="G11" s="35"/>
      <c r="H11" s="136"/>
      <c r="K11" s="139"/>
      <c r="L11" s="130"/>
      <c r="M11" s="140">
        <f>SUM(M7:M10)</f>
        <v>105000</v>
      </c>
      <c r="N11" s="140">
        <f>SUM(N7:N10)</f>
        <v>29500</v>
      </c>
      <c r="O11" s="132">
        <f>SUM(O7:O10)</f>
        <v>75500</v>
      </c>
    </row>
    <row r="12" spans="1:15" ht="15.75" thickTop="1" x14ac:dyDescent="0.25">
      <c r="B12" s="43"/>
      <c r="G12" s="35"/>
      <c r="H12" s="141"/>
      <c r="K12" s="139"/>
      <c r="M12" s="115"/>
      <c r="N12" s="142"/>
      <c r="O12" s="141"/>
    </row>
    <row r="13" spans="1:15" x14ac:dyDescent="0.25">
      <c r="B13" s="143" t="s">
        <v>204</v>
      </c>
      <c r="E13" s="23"/>
      <c r="G13" s="115"/>
      <c r="H13" s="136"/>
      <c r="J13" s="44"/>
      <c r="K13" s="139"/>
      <c r="M13" s="115"/>
      <c r="N13" s="142"/>
      <c r="O13" s="141"/>
    </row>
    <row r="14" spans="1:15" x14ac:dyDescent="0.25">
      <c r="B14" s="43" t="s">
        <v>164</v>
      </c>
      <c r="E14" s="23"/>
      <c r="F14" s="23" t="s">
        <v>282</v>
      </c>
      <c r="G14" s="46">
        <v>1350</v>
      </c>
      <c r="H14" s="136"/>
      <c r="J14" s="44"/>
      <c r="K14" s="139"/>
      <c r="M14" s="115"/>
      <c r="N14" s="142"/>
      <c r="O14" s="141"/>
    </row>
    <row r="15" spans="1:15" x14ac:dyDescent="0.25">
      <c r="B15" s="43" t="s">
        <v>205</v>
      </c>
      <c r="E15" s="23"/>
      <c r="G15" s="46">
        <v>500</v>
      </c>
      <c r="H15" s="136"/>
      <c r="J15" s="44"/>
      <c r="K15" s="139"/>
      <c r="M15" s="115"/>
      <c r="N15" s="142"/>
      <c r="O15" s="141"/>
    </row>
    <row r="16" spans="1:15" ht="17.25" x14ac:dyDescent="0.4">
      <c r="B16" s="43" t="s">
        <v>206</v>
      </c>
      <c r="G16" s="144">
        <v>5200</v>
      </c>
      <c r="H16" s="136"/>
      <c r="J16" s="44"/>
      <c r="K16" s="129" t="s">
        <v>207</v>
      </c>
      <c r="L16" s="130"/>
      <c r="M16" s="115"/>
      <c r="N16" s="142"/>
      <c r="O16" s="141"/>
    </row>
    <row r="17" spans="2:15" x14ac:dyDescent="0.25">
      <c r="B17" s="43" t="s">
        <v>208</v>
      </c>
      <c r="E17" s="23"/>
      <c r="G17" s="46">
        <v>-50</v>
      </c>
      <c r="H17" s="136"/>
      <c r="J17" s="44"/>
      <c r="K17" s="139" t="s">
        <v>209</v>
      </c>
      <c r="M17" s="146"/>
      <c r="N17" s="131">
        <v>1250</v>
      </c>
      <c r="O17" s="141"/>
    </row>
    <row r="18" spans="2:15" ht="17.25" customHeight="1" x14ac:dyDescent="0.25">
      <c r="B18" s="43" t="s">
        <v>210</v>
      </c>
      <c r="G18" s="34">
        <v>2000</v>
      </c>
      <c r="H18" s="136"/>
      <c r="J18" s="44"/>
      <c r="K18" s="139" t="s">
        <v>211</v>
      </c>
      <c r="M18" s="135" t="s">
        <v>276</v>
      </c>
      <c r="N18" s="131">
        <f>4500-450</f>
        <v>4050</v>
      </c>
      <c r="O18" s="141"/>
    </row>
    <row r="19" spans="2:15" ht="15.75" thickBot="1" x14ac:dyDescent="0.3">
      <c r="B19" s="43"/>
      <c r="G19" s="147"/>
      <c r="H19" s="133">
        <f>-SUM(G14:G19)</f>
        <v>-9000</v>
      </c>
      <c r="J19" s="44"/>
      <c r="K19" s="139"/>
      <c r="M19" s="135"/>
      <c r="N19" s="131">
        <v>150</v>
      </c>
      <c r="O19" s="141"/>
    </row>
    <row r="20" spans="2:15" ht="15.75" thickBot="1" x14ac:dyDescent="0.3">
      <c r="B20" s="43"/>
      <c r="G20" s="35"/>
      <c r="H20" s="136"/>
      <c r="J20" s="44"/>
      <c r="K20" s="139" t="s">
        <v>146</v>
      </c>
      <c r="M20" s="115"/>
      <c r="N20" s="148">
        <v>10750</v>
      </c>
      <c r="O20" s="138">
        <f>SUM(N17:N20)</f>
        <v>16200</v>
      </c>
    </row>
    <row r="21" spans="2:15" ht="15.75" thickBot="1" x14ac:dyDescent="0.3">
      <c r="B21" s="143" t="s">
        <v>212</v>
      </c>
      <c r="G21" s="35"/>
      <c r="H21" s="136"/>
      <c r="J21" s="44"/>
      <c r="K21" s="139"/>
      <c r="M21" s="115"/>
      <c r="N21" s="142"/>
      <c r="O21" s="149">
        <f>+O20+O11</f>
        <v>91700</v>
      </c>
    </row>
    <row r="22" spans="2:15" ht="15.75" thickTop="1" x14ac:dyDescent="0.25">
      <c r="B22" s="43" t="s">
        <v>149</v>
      </c>
      <c r="G22" s="34">
        <v>15000</v>
      </c>
      <c r="H22" s="136"/>
      <c r="J22" s="44"/>
      <c r="K22" s="139"/>
      <c r="M22" s="115"/>
      <c r="N22" s="142"/>
      <c r="O22" s="150"/>
    </row>
    <row r="23" spans="2:15" x14ac:dyDescent="0.25">
      <c r="B23" s="43" t="s">
        <v>213</v>
      </c>
      <c r="G23" s="145"/>
      <c r="H23" s="136"/>
      <c r="J23" s="44"/>
      <c r="K23" s="139"/>
      <c r="M23" s="115"/>
      <c r="N23" s="142"/>
      <c r="O23" s="141"/>
    </row>
    <row r="24" spans="2:15" ht="17.25" x14ac:dyDescent="0.4">
      <c r="B24" s="43" t="s">
        <v>269</v>
      </c>
      <c r="G24" s="34">
        <v>1200</v>
      </c>
      <c r="H24" s="136"/>
      <c r="J24" s="44"/>
      <c r="K24" s="129" t="s">
        <v>214</v>
      </c>
      <c r="L24" s="130"/>
      <c r="M24" s="115"/>
      <c r="N24" s="142"/>
      <c r="O24" s="141"/>
    </row>
    <row r="25" spans="2:15" x14ac:dyDescent="0.25">
      <c r="B25" s="43" t="s">
        <v>216</v>
      </c>
      <c r="G25" s="34">
        <v>5000</v>
      </c>
      <c r="H25" s="136"/>
      <c r="J25" s="44"/>
      <c r="K25" s="139" t="s">
        <v>215</v>
      </c>
      <c r="M25" s="115"/>
      <c r="N25" s="131">
        <v>78050</v>
      </c>
      <c r="O25" s="141"/>
    </row>
    <row r="26" spans="2:15" x14ac:dyDescent="0.25">
      <c r="B26" s="43" t="s">
        <v>218</v>
      </c>
      <c r="F26" s="23" t="s">
        <v>281</v>
      </c>
      <c r="G26" s="43">
        <v>8200</v>
      </c>
      <c r="H26" s="115"/>
      <c r="J26" s="44"/>
      <c r="K26" s="139" t="s">
        <v>217</v>
      </c>
      <c r="M26" s="146"/>
      <c r="N26" s="131">
        <v>-10750</v>
      </c>
      <c r="O26" s="141"/>
    </row>
    <row r="27" spans="2:15" ht="15.75" thickBot="1" x14ac:dyDescent="0.3">
      <c r="B27" s="43" t="s">
        <v>153</v>
      </c>
      <c r="G27" s="147">
        <v>9500</v>
      </c>
      <c r="H27" s="133">
        <f>-SUM(G22:G27)</f>
        <v>-38900</v>
      </c>
      <c r="J27" s="44"/>
      <c r="K27" s="139" t="s">
        <v>219</v>
      </c>
      <c r="M27" s="115"/>
      <c r="N27" s="148">
        <v>5000</v>
      </c>
      <c r="O27" s="132">
        <f>SUM(N25:N27)</f>
        <v>72300</v>
      </c>
    </row>
    <row r="28" spans="2:15" x14ac:dyDescent="0.25">
      <c r="B28" s="43"/>
      <c r="G28" s="35"/>
      <c r="H28" s="115"/>
      <c r="J28" s="44"/>
      <c r="K28" s="139"/>
      <c r="M28" s="115"/>
      <c r="N28" s="142"/>
      <c r="O28" s="141"/>
    </row>
    <row r="29" spans="2:15" ht="17.25" x14ac:dyDescent="0.4">
      <c r="B29" s="143" t="s">
        <v>221</v>
      </c>
      <c r="G29" s="35"/>
      <c r="H29" s="115"/>
      <c r="J29" s="44"/>
      <c r="K29" s="151" t="s">
        <v>220</v>
      </c>
      <c r="M29" s="115"/>
      <c r="N29" s="142"/>
      <c r="O29" s="141"/>
    </row>
    <row r="30" spans="2:15" ht="15.75" thickBot="1" x14ac:dyDescent="0.3">
      <c r="B30" s="43" t="s">
        <v>270</v>
      </c>
      <c r="G30" s="34">
        <v>800</v>
      </c>
      <c r="H30" s="115"/>
      <c r="J30" s="44"/>
      <c r="K30" s="139" t="s">
        <v>283</v>
      </c>
      <c r="M30" s="115"/>
      <c r="N30" s="148">
        <v>5000</v>
      </c>
      <c r="O30" s="132">
        <f>+N30</f>
        <v>5000</v>
      </c>
    </row>
    <row r="31" spans="2:15" ht="15.75" thickBot="1" x14ac:dyDescent="0.3">
      <c r="B31" s="43" t="s">
        <v>186</v>
      </c>
      <c r="G31" s="152">
        <v>500</v>
      </c>
      <c r="H31" s="46">
        <f>-SUM(G30:G31)</f>
        <v>-1300</v>
      </c>
      <c r="J31" s="44"/>
      <c r="K31" s="139"/>
      <c r="M31" s="115"/>
      <c r="N31" s="142"/>
      <c r="O31" s="141"/>
    </row>
    <row r="32" spans="2:15" ht="17.25" x14ac:dyDescent="0.4">
      <c r="B32" s="43"/>
      <c r="G32" s="35"/>
      <c r="H32" s="115"/>
      <c r="J32" s="44"/>
      <c r="K32" s="151" t="s">
        <v>223</v>
      </c>
      <c r="M32" s="115"/>
      <c r="N32" s="142"/>
      <c r="O32" s="141"/>
    </row>
    <row r="33" spans="1:17" x14ac:dyDescent="0.25">
      <c r="B33" s="143" t="s">
        <v>224</v>
      </c>
      <c r="G33" s="35"/>
      <c r="H33" s="115"/>
      <c r="J33" s="44"/>
      <c r="K33" s="139" t="s">
        <v>225</v>
      </c>
      <c r="M33" s="115"/>
      <c r="N33" s="131">
        <v>3000</v>
      </c>
      <c r="O33" s="141"/>
    </row>
    <row r="34" spans="1:17" ht="15.75" thickBot="1" x14ac:dyDescent="0.3">
      <c r="B34" s="43" t="s">
        <v>226</v>
      </c>
      <c r="G34" s="153">
        <v>150</v>
      </c>
      <c r="H34" s="128">
        <f>-G34</f>
        <v>-150</v>
      </c>
      <c r="J34" s="44"/>
      <c r="K34" s="139" t="s">
        <v>227</v>
      </c>
      <c r="M34" s="115"/>
      <c r="N34" s="131">
        <v>10700</v>
      </c>
      <c r="O34" s="141"/>
    </row>
    <row r="35" spans="1:17" x14ac:dyDescent="0.25">
      <c r="B35" s="43"/>
      <c r="G35" s="35"/>
      <c r="H35" s="115"/>
      <c r="K35" s="139" t="s">
        <v>228</v>
      </c>
      <c r="M35" s="115"/>
      <c r="N35" s="131"/>
      <c r="O35" s="141"/>
    </row>
    <row r="36" spans="1:17" x14ac:dyDescent="0.25">
      <c r="B36" s="43" t="s">
        <v>229</v>
      </c>
      <c r="G36" s="35"/>
      <c r="H36" s="154">
        <f>SUM(H10:H35)</f>
        <v>-17550</v>
      </c>
      <c r="K36" s="139" t="s">
        <v>230</v>
      </c>
      <c r="M36" s="115"/>
      <c r="N36" s="131">
        <v>500</v>
      </c>
      <c r="O36" s="141"/>
    </row>
    <row r="37" spans="1:17" x14ac:dyDescent="0.25">
      <c r="B37" s="43"/>
      <c r="G37" s="35"/>
      <c r="H37" s="115"/>
      <c r="K37" s="139" t="s">
        <v>231</v>
      </c>
      <c r="L37" s="33"/>
      <c r="M37" s="115"/>
      <c r="N37" s="131"/>
      <c r="O37" s="141"/>
    </row>
    <row r="38" spans="1:17" ht="15.75" thickBot="1" x14ac:dyDescent="0.3">
      <c r="A38" s="24" t="s">
        <v>25</v>
      </c>
      <c r="B38" s="43" t="s">
        <v>232</v>
      </c>
      <c r="F38" s="23" t="s">
        <v>280</v>
      </c>
      <c r="G38" s="35"/>
      <c r="H38" s="128">
        <v>-13200</v>
      </c>
      <c r="K38" s="139" t="s">
        <v>233</v>
      </c>
      <c r="M38" s="115"/>
      <c r="N38" s="148">
        <v>200</v>
      </c>
      <c r="O38" s="132">
        <f>SUM(N33:N38)</f>
        <v>14400</v>
      </c>
      <c r="P38" s="117">
        <f>+O39-O21</f>
        <v>0</v>
      </c>
    </row>
    <row r="39" spans="1:17" ht="15.75" thickBot="1" x14ac:dyDescent="0.3">
      <c r="B39" s="43"/>
      <c r="G39" s="35"/>
      <c r="H39" s="115"/>
      <c r="K39" s="155"/>
      <c r="L39" s="120"/>
      <c r="M39" s="156"/>
      <c r="N39" s="157"/>
      <c r="O39" s="158">
        <f>+O38+O30+O27</f>
        <v>91700</v>
      </c>
      <c r="P39" s="159"/>
      <c r="Q39" s="33"/>
    </row>
    <row r="40" spans="1:17" ht="15.75" thickTop="1" x14ac:dyDescent="0.25">
      <c r="B40" s="43" t="s">
        <v>234</v>
      </c>
      <c r="G40" s="35"/>
      <c r="H40" s="154">
        <f>SUM(H36:H39)</f>
        <v>-30750</v>
      </c>
      <c r="O40" s="159"/>
    </row>
    <row r="41" spans="1:17" x14ac:dyDescent="0.25">
      <c r="B41" s="43"/>
      <c r="G41" s="35"/>
      <c r="H41" s="115"/>
    </row>
    <row r="42" spans="1:17" x14ac:dyDescent="0.25">
      <c r="B42" s="43" t="s">
        <v>235</v>
      </c>
      <c r="G42" s="35"/>
      <c r="H42" s="115">
        <v>0</v>
      </c>
      <c r="K42" s="25" t="s">
        <v>266</v>
      </c>
    </row>
    <row r="43" spans="1:17" x14ac:dyDescent="0.25">
      <c r="B43" s="43"/>
      <c r="G43" s="35"/>
      <c r="H43" s="46"/>
      <c r="K43" s="33" t="s">
        <v>267</v>
      </c>
    </row>
    <row r="44" spans="1:17" x14ac:dyDescent="0.25">
      <c r="B44" s="43"/>
      <c r="G44" s="35"/>
      <c r="H44" s="115"/>
      <c r="K44" s="120" t="s">
        <v>236</v>
      </c>
      <c r="P44" s="25"/>
      <c r="Q44" s="24"/>
    </row>
    <row r="45" spans="1:17" ht="15.75" thickBot="1" x14ac:dyDescent="0.3">
      <c r="B45" s="43" t="s">
        <v>237</v>
      </c>
      <c r="G45" s="35"/>
      <c r="H45" s="160">
        <f>SUM(H40:H44)</f>
        <v>-30750</v>
      </c>
      <c r="K45" s="125"/>
      <c r="L45" s="161" t="s">
        <v>215</v>
      </c>
      <c r="M45" s="161" t="s">
        <v>219</v>
      </c>
      <c r="N45" s="126" t="s">
        <v>217</v>
      </c>
      <c r="O45" s="127" t="s">
        <v>103</v>
      </c>
    </row>
    <row r="46" spans="1:17" ht="15.75" thickTop="1" x14ac:dyDescent="0.25">
      <c r="B46" s="43"/>
      <c r="G46" s="35"/>
      <c r="H46" s="115"/>
      <c r="K46" s="32" t="s">
        <v>238</v>
      </c>
      <c r="L46" s="27">
        <v>78050</v>
      </c>
      <c r="M46" s="27">
        <v>0</v>
      </c>
      <c r="N46" s="46">
        <v>25000</v>
      </c>
      <c r="O46" s="133">
        <f>SUM(L46:N46)</f>
        <v>103050</v>
      </c>
    </row>
    <row r="47" spans="1:17" x14ac:dyDescent="0.25">
      <c r="B47" s="43"/>
      <c r="G47" s="35"/>
      <c r="H47" s="115"/>
      <c r="K47" s="32" t="s">
        <v>239</v>
      </c>
      <c r="L47" s="22"/>
      <c r="M47" s="22"/>
      <c r="N47" s="46">
        <f>+H45</f>
        <v>-30750</v>
      </c>
      <c r="O47" s="133">
        <f t="shared" ref="O47:O48" si="0">SUM(L47:N47)</f>
        <v>-30750</v>
      </c>
    </row>
    <row r="48" spans="1:17" x14ac:dyDescent="0.25">
      <c r="B48" s="119"/>
      <c r="C48" s="118"/>
      <c r="D48" s="118"/>
      <c r="E48" s="118"/>
      <c r="F48" s="118"/>
      <c r="G48" s="116"/>
      <c r="H48" s="156"/>
      <c r="K48" s="139" t="s">
        <v>240</v>
      </c>
      <c r="L48" s="100"/>
      <c r="M48" s="32">
        <v>5000</v>
      </c>
      <c r="N48" s="46">
        <v>-5000</v>
      </c>
      <c r="O48" s="133">
        <f t="shared" si="0"/>
        <v>0</v>
      </c>
    </row>
    <row r="49" spans="2:18" x14ac:dyDescent="0.25">
      <c r="K49" s="139"/>
      <c r="L49" s="100"/>
      <c r="M49" s="100"/>
      <c r="N49" s="115"/>
      <c r="O49" s="133"/>
    </row>
    <row r="50" spans="2:18" ht="15.75" thickBot="1" x14ac:dyDescent="0.3">
      <c r="K50" s="155" t="s">
        <v>241</v>
      </c>
      <c r="L50" s="162">
        <f>SUM(L46:L49)</f>
        <v>78050</v>
      </c>
      <c r="M50" s="162">
        <f>SUM(M48:M49)</f>
        <v>5000</v>
      </c>
      <c r="N50" s="163">
        <f>SUM(N46:N49)</f>
        <v>-10750</v>
      </c>
      <c r="O50" s="163">
        <f>SUM(O46:O49)</f>
        <v>72300</v>
      </c>
      <c r="Q50" s="117"/>
      <c r="R50" s="25"/>
    </row>
    <row r="51" spans="2:18" ht="15.75" thickTop="1" x14ac:dyDescent="0.25"/>
    <row r="52" spans="2:18" x14ac:dyDescent="0.25">
      <c r="B52" s="117"/>
    </row>
    <row r="54" spans="2:18" x14ac:dyDescent="0.25">
      <c r="B54" s="117"/>
    </row>
    <row r="57" spans="2:18" x14ac:dyDescent="0.25">
      <c r="I57" s="117"/>
    </row>
    <row r="58" spans="2:18" x14ac:dyDescent="0.25">
      <c r="I58" s="117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76F5E-FEED-4E99-9EB0-2019E8F8B670}">
  <dimension ref="A1:M77"/>
  <sheetViews>
    <sheetView zoomScaleNormal="100" workbookViewId="0">
      <selection activeCell="A39" sqref="A39"/>
    </sheetView>
  </sheetViews>
  <sheetFormatPr defaultColWidth="9.140625" defaultRowHeight="15" x14ac:dyDescent="0.25"/>
  <cols>
    <col min="1" max="1" width="9.140625" style="117"/>
    <col min="2" max="2" width="23.85546875" style="117" bestFit="1" customWidth="1"/>
    <col min="3" max="3" width="10.5703125" style="165" bestFit="1" customWidth="1"/>
    <col min="4" max="4" width="11.7109375" style="165" customWidth="1"/>
    <col min="5" max="5" width="10.85546875" style="165" bestFit="1" customWidth="1"/>
    <col min="6" max="6" width="10.7109375" style="165" customWidth="1"/>
    <col min="7" max="7" width="26" style="117" hidden="1" customWidth="1"/>
    <col min="8" max="8" width="13.28515625" style="25" hidden="1" customWidth="1"/>
    <col min="9" max="9" width="27.7109375" style="25" hidden="1" customWidth="1"/>
    <col min="10" max="10" width="9.5703125" style="25" hidden="1" customWidth="1"/>
    <col min="11" max="11" width="1.28515625" style="25" customWidth="1"/>
    <col min="12" max="12" width="10.5703125" style="26" bestFit="1" customWidth="1"/>
    <col min="13" max="14" width="9.140625" style="117"/>
    <col min="15" max="15" width="17.42578125" style="117" bestFit="1" customWidth="1"/>
    <col min="16" max="16" width="10.7109375" style="117" bestFit="1" customWidth="1"/>
    <col min="17" max="17" width="9.28515625" style="117" bestFit="1" customWidth="1"/>
    <col min="18" max="18" width="9.140625" style="117"/>
    <col min="19" max="19" width="10.5703125" style="117" bestFit="1" customWidth="1"/>
    <col min="20" max="16384" width="9.140625" style="117"/>
  </cols>
  <sheetData>
    <row r="1" spans="1:13" ht="11.25" customHeight="1" x14ac:dyDescent="0.25"/>
    <row r="2" spans="1:13" hidden="1" x14ac:dyDescent="0.25">
      <c r="F2" s="156" t="s">
        <v>242</v>
      </c>
      <c r="H2" s="120"/>
      <c r="I2" s="120"/>
      <c r="J2" s="120"/>
      <c r="K2" s="120"/>
    </row>
    <row r="3" spans="1:13" hidden="1" x14ac:dyDescent="0.25">
      <c r="B3" s="166"/>
      <c r="C3" s="167"/>
      <c r="D3" s="168" t="s">
        <v>199</v>
      </c>
      <c r="E3" s="167"/>
      <c r="F3" s="168" t="s">
        <v>200</v>
      </c>
      <c r="G3" s="124"/>
      <c r="H3" s="25" t="s">
        <v>202</v>
      </c>
      <c r="I3" s="27"/>
      <c r="J3" s="25" t="s">
        <v>203</v>
      </c>
      <c r="K3" s="33"/>
      <c r="L3" s="169" t="s">
        <v>243</v>
      </c>
      <c r="M3" s="124"/>
    </row>
    <row r="4" spans="1:13" hidden="1" x14ac:dyDescent="0.25">
      <c r="B4" s="134"/>
      <c r="C4" s="136"/>
      <c r="D4" s="170"/>
      <c r="E4" s="171"/>
      <c r="F4" s="172"/>
      <c r="G4" s="173"/>
      <c r="H4" s="120"/>
      <c r="I4" s="174"/>
      <c r="J4" s="120"/>
      <c r="K4" s="120"/>
      <c r="L4" s="175"/>
      <c r="M4" s="173"/>
    </row>
    <row r="5" spans="1:13" hidden="1" x14ac:dyDescent="0.25">
      <c r="B5" s="134"/>
      <c r="C5" s="136"/>
      <c r="D5" s="176"/>
      <c r="E5" s="136"/>
      <c r="F5" s="176"/>
      <c r="G5" s="159"/>
      <c r="H5" s="139"/>
      <c r="I5" s="27"/>
      <c r="J5" s="33"/>
      <c r="K5" s="33"/>
      <c r="L5" s="114"/>
      <c r="M5" s="133"/>
    </row>
    <row r="6" spans="1:13" hidden="1" x14ac:dyDescent="0.25">
      <c r="B6" s="134" t="s">
        <v>244</v>
      </c>
      <c r="C6" s="136"/>
      <c r="D6" s="176">
        <v>9000</v>
      </c>
      <c r="E6" s="136"/>
      <c r="F6" s="176">
        <v>6000</v>
      </c>
      <c r="G6" s="159"/>
      <c r="H6" s="139">
        <v>6000</v>
      </c>
      <c r="I6" s="27"/>
      <c r="J6" s="33">
        <v>1000</v>
      </c>
      <c r="K6" s="33"/>
      <c r="L6" s="114">
        <v>22000</v>
      </c>
      <c r="M6" s="133"/>
    </row>
    <row r="7" spans="1:13" hidden="1" x14ac:dyDescent="0.25">
      <c r="B7" s="134" t="s">
        <v>245</v>
      </c>
      <c r="C7" s="136"/>
      <c r="D7" s="176"/>
      <c r="E7" s="136"/>
      <c r="F7" s="176"/>
      <c r="G7" s="159"/>
      <c r="H7" s="139"/>
      <c r="I7" s="27"/>
      <c r="J7" s="33"/>
      <c r="K7" s="33"/>
      <c r="L7" s="114">
        <v>0</v>
      </c>
      <c r="M7" s="133"/>
    </row>
    <row r="8" spans="1:13" hidden="1" x14ac:dyDescent="0.25">
      <c r="B8" s="134" t="s">
        <v>246</v>
      </c>
      <c r="C8" s="136"/>
      <c r="D8" s="176"/>
      <c r="E8" s="136"/>
      <c r="F8" s="176"/>
      <c r="G8" s="159"/>
      <c r="H8" s="139">
        <v>-3500</v>
      </c>
      <c r="I8" s="27"/>
      <c r="J8" s="33"/>
      <c r="K8" s="33"/>
      <c r="L8" s="114">
        <v>-3500</v>
      </c>
      <c r="M8" s="133"/>
    </row>
    <row r="9" spans="1:13" hidden="1" x14ac:dyDescent="0.25">
      <c r="B9" s="134" t="s">
        <v>68</v>
      </c>
      <c r="C9" s="136"/>
      <c r="D9" s="177">
        <v>9000</v>
      </c>
      <c r="E9" s="178"/>
      <c r="F9" s="177">
        <v>6000</v>
      </c>
      <c r="G9" s="179"/>
      <c r="H9" s="180">
        <v>2500</v>
      </c>
      <c r="I9" s="181"/>
      <c r="J9" s="180">
        <v>1000</v>
      </c>
      <c r="K9" s="182"/>
      <c r="L9" s="183">
        <v>18500</v>
      </c>
      <c r="M9" s="127"/>
    </row>
    <row r="10" spans="1:13" hidden="1" x14ac:dyDescent="0.25">
      <c r="B10" s="134"/>
      <c r="C10" s="136"/>
      <c r="D10" s="176"/>
      <c r="E10" s="136"/>
      <c r="F10" s="176"/>
      <c r="G10" s="159"/>
      <c r="H10" s="139"/>
      <c r="I10" s="27"/>
      <c r="J10" s="33"/>
      <c r="K10" s="33"/>
      <c r="L10" s="114"/>
      <c r="M10" s="133"/>
    </row>
    <row r="11" spans="1:13" hidden="1" x14ac:dyDescent="0.25">
      <c r="B11" s="134"/>
      <c r="C11" s="136"/>
      <c r="D11" s="176"/>
      <c r="E11" s="136"/>
      <c r="F11" s="176"/>
      <c r="G11" s="159"/>
      <c r="H11" s="139"/>
      <c r="I11" s="27"/>
      <c r="J11" s="33"/>
      <c r="K11" s="33"/>
      <c r="L11" s="114"/>
      <c r="M11" s="133"/>
    </row>
    <row r="12" spans="1:13" hidden="1" x14ac:dyDescent="0.25">
      <c r="B12" s="134"/>
      <c r="C12" s="136"/>
      <c r="D12" s="176"/>
      <c r="E12" s="136"/>
      <c r="F12" s="176"/>
      <c r="G12" s="159"/>
      <c r="H12" s="139"/>
      <c r="I12" s="27"/>
      <c r="J12" s="33"/>
      <c r="K12" s="33"/>
      <c r="L12" s="114"/>
      <c r="M12" s="133"/>
    </row>
    <row r="13" spans="1:13" hidden="1" x14ac:dyDescent="0.25">
      <c r="B13" s="134" t="s">
        <v>244</v>
      </c>
      <c r="C13" s="136"/>
      <c r="D13" s="176">
        <v>0</v>
      </c>
      <c r="E13" s="136"/>
      <c r="F13" s="176">
        <v>4000</v>
      </c>
      <c r="G13" s="159"/>
      <c r="H13" s="139">
        <v>2000</v>
      </c>
      <c r="I13" s="27"/>
      <c r="J13" s="33">
        <v>500</v>
      </c>
      <c r="K13" s="33"/>
      <c r="L13" s="114">
        <v>6500</v>
      </c>
      <c r="M13" s="133"/>
    </row>
    <row r="14" spans="1:13" hidden="1" x14ac:dyDescent="0.25">
      <c r="B14" s="134" t="s">
        <v>246</v>
      </c>
      <c r="C14" s="136"/>
      <c r="D14" s="176"/>
      <c r="E14" s="136"/>
      <c r="F14" s="176"/>
      <c r="G14" s="159"/>
      <c r="H14" s="139">
        <v>-1400</v>
      </c>
      <c r="I14" s="27"/>
      <c r="J14" s="33"/>
      <c r="K14" s="33"/>
      <c r="L14" s="114">
        <v>-1400</v>
      </c>
      <c r="M14" s="133"/>
    </row>
    <row r="15" spans="1:13" hidden="1" x14ac:dyDescent="0.25">
      <c r="A15" s="133"/>
      <c r="B15" s="117" t="s">
        <v>153</v>
      </c>
      <c r="C15" s="136"/>
      <c r="D15" s="176"/>
      <c r="E15" s="136"/>
      <c r="F15" s="176">
        <v>600</v>
      </c>
      <c r="G15" s="159"/>
      <c r="H15" s="139">
        <v>512.5</v>
      </c>
      <c r="I15" s="27"/>
      <c r="J15" s="33">
        <v>100</v>
      </c>
      <c r="K15" s="33"/>
      <c r="L15" s="114">
        <v>1212.5</v>
      </c>
      <c r="M15" s="133"/>
    </row>
    <row r="16" spans="1:13" hidden="1" x14ac:dyDescent="0.25">
      <c r="B16" s="134" t="s">
        <v>68</v>
      </c>
      <c r="C16" s="136"/>
      <c r="D16" s="177">
        <v>0</v>
      </c>
      <c r="E16" s="178"/>
      <c r="F16" s="177">
        <v>4600</v>
      </c>
      <c r="G16" s="179"/>
      <c r="H16" s="180">
        <v>1112.5</v>
      </c>
      <c r="I16" s="181"/>
      <c r="J16" s="180">
        <v>600</v>
      </c>
      <c r="K16" s="182"/>
      <c r="L16" s="183">
        <v>6312.5</v>
      </c>
      <c r="M16" s="127"/>
    </row>
    <row r="17" spans="2:13" hidden="1" x14ac:dyDescent="0.25">
      <c r="B17" s="134"/>
      <c r="C17" s="136"/>
      <c r="D17" s="176"/>
      <c r="E17" s="136"/>
      <c r="F17" s="176"/>
      <c r="G17" s="159"/>
      <c r="H17" s="139"/>
      <c r="I17" s="27"/>
      <c r="J17" s="33"/>
      <c r="K17" s="33"/>
      <c r="L17" s="114">
        <v>12187.5</v>
      </c>
      <c r="M17" s="133"/>
    </row>
    <row r="18" spans="2:13" hidden="1" x14ac:dyDescent="0.25">
      <c r="B18" s="184"/>
      <c r="C18" s="171"/>
      <c r="D18" s="172"/>
      <c r="E18" s="171"/>
      <c r="F18" s="172"/>
      <c r="G18" s="185"/>
      <c r="H18" s="155"/>
      <c r="I18" s="174"/>
      <c r="J18" s="120"/>
      <c r="K18" s="120"/>
      <c r="L18" s="175"/>
      <c r="M18" s="173"/>
    </row>
    <row r="20" spans="2:13" x14ac:dyDescent="0.25">
      <c r="G20" s="186"/>
      <c r="H20" s="187" t="s">
        <v>247</v>
      </c>
      <c r="I20" s="187"/>
      <c r="J20" s="188"/>
      <c r="K20" s="188"/>
    </row>
    <row r="22" spans="2:13" x14ac:dyDescent="0.25">
      <c r="G22" s="117" t="s">
        <v>248</v>
      </c>
    </row>
    <row r="23" spans="2:13" x14ac:dyDescent="0.25">
      <c r="B23" s="166" t="s">
        <v>249</v>
      </c>
      <c r="C23" s="168"/>
      <c r="D23" s="168"/>
      <c r="E23" s="168"/>
      <c r="F23" s="167"/>
    </row>
    <row r="24" spans="2:13" x14ac:dyDescent="0.25">
      <c r="B24" s="134"/>
      <c r="C24" s="176"/>
      <c r="D24" s="176"/>
      <c r="E24" s="176"/>
      <c r="F24" s="136"/>
      <c r="G24" s="117" t="s">
        <v>250</v>
      </c>
      <c r="H24" s="25">
        <v>3500000</v>
      </c>
    </row>
    <row r="25" spans="2:13" x14ac:dyDescent="0.25">
      <c r="B25" s="126" t="s">
        <v>199</v>
      </c>
      <c r="C25" s="192"/>
      <c r="D25" s="234"/>
      <c r="E25" s="234"/>
      <c r="F25" s="136"/>
    </row>
    <row r="26" spans="2:13" x14ac:dyDescent="0.25">
      <c r="B26" s="126" t="s">
        <v>200</v>
      </c>
      <c r="C26" s="161">
        <v>10</v>
      </c>
      <c r="D26" s="193">
        <v>50000</v>
      </c>
      <c r="E26" s="126">
        <f>+D26/C26</f>
        <v>5000</v>
      </c>
      <c r="F26" s="194" t="s">
        <v>278</v>
      </c>
      <c r="G26" s="117" t="s">
        <v>178</v>
      </c>
      <c r="H26" s="25">
        <v>350000</v>
      </c>
    </row>
    <row r="27" spans="2:13" x14ac:dyDescent="0.25">
      <c r="B27" s="126" t="s">
        <v>203</v>
      </c>
      <c r="C27" s="161">
        <v>4</v>
      </c>
      <c r="D27" s="126">
        <v>18000</v>
      </c>
      <c r="E27" s="126">
        <f>+D27/C27</f>
        <v>4500</v>
      </c>
      <c r="F27" s="194" t="s">
        <v>279</v>
      </c>
    </row>
    <row r="28" spans="2:13" x14ac:dyDescent="0.25">
      <c r="B28" s="126" t="s">
        <v>202</v>
      </c>
      <c r="C28" s="161">
        <v>5</v>
      </c>
      <c r="D28" s="126"/>
      <c r="E28" s="195">
        <v>5200</v>
      </c>
      <c r="F28" s="194"/>
    </row>
    <row r="29" spans="2:13" ht="15.75" thickBot="1" x14ac:dyDescent="0.3">
      <c r="B29" s="134"/>
      <c r="C29" s="176"/>
      <c r="D29" s="176"/>
      <c r="E29" s="196">
        <f>SUM(E26:E28)</f>
        <v>14700</v>
      </c>
      <c r="F29" s="136"/>
      <c r="G29" s="117" t="s">
        <v>251</v>
      </c>
      <c r="H29" s="25">
        <v>1750000</v>
      </c>
    </row>
    <row r="30" spans="2:13" ht="15.75" thickTop="1" x14ac:dyDescent="0.25">
      <c r="B30" s="184"/>
      <c r="C30" s="172"/>
      <c r="D30" s="172"/>
      <c r="E30" s="172"/>
      <c r="F30" s="171"/>
    </row>
    <row r="32" spans="2:13" x14ac:dyDescent="0.25">
      <c r="B32" s="166" t="s">
        <v>252</v>
      </c>
      <c r="C32" s="168"/>
      <c r="D32" s="168"/>
      <c r="E32" s="167"/>
    </row>
    <row r="33" spans="2:13" x14ac:dyDescent="0.25">
      <c r="B33" s="134"/>
      <c r="C33" s="176"/>
      <c r="D33" s="176"/>
      <c r="E33" s="136"/>
    </row>
    <row r="34" spans="2:13" x14ac:dyDescent="0.25">
      <c r="B34" s="139" t="s">
        <v>191</v>
      </c>
      <c r="C34" s="33"/>
      <c r="D34" s="176"/>
      <c r="E34" s="136"/>
    </row>
    <row r="35" spans="2:13" x14ac:dyDescent="0.25">
      <c r="B35" s="134"/>
      <c r="C35" s="176"/>
      <c r="D35" s="176"/>
      <c r="E35" s="136"/>
    </row>
    <row r="36" spans="2:13" x14ac:dyDescent="0.25">
      <c r="B36" s="134"/>
      <c r="C36" s="197"/>
      <c r="E36" s="136"/>
    </row>
    <row r="37" spans="2:13" x14ac:dyDescent="0.25">
      <c r="B37" s="134"/>
      <c r="C37" s="176"/>
      <c r="D37" s="176"/>
      <c r="E37" s="136"/>
    </row>
    <row r="38" spans="2:13" ht="15.75" thickBot="1" x14ac:dyDescent="0.3">
      <c r="B38" s="184"/>
      <c r="C38" s="190"/>
      <c r="D38" s="189"/>
      <c r="E38" s="171"/>
    </row>
    <row r="39" spans="2:13" ht="15.75" thickTop="1" x14ac:dyDescent="0.25"/>
    <row r="42" spans="2:13" x14ac:dyDescent="0.25">
      <c r="B42" s="166" t="s">
        <v>253</v>
      </c>
      <c r="C42" s="168"/>
      <c r="D42" s="168"/>
      <c r="E42" s="168"/>
      <c r="F42" s="168"/>
      <c r="G42" s="198"/>
      <c r="H42" s="199"/>
      <c r="I42" s="199"/>
      <c r="J42" s="199"/>
      <c r="K42" s="199"/>
      <c r="L42" s="200"/>
      <c r="M42" s="124"/>
    </row>
    <row r="43" spans="2:13" x14ac:dyDescent="0.25">
      <c r="B43" s="134"/>
      <c r="C43" s="159" t="s">
        <v>253</v>
      </c>
      <c r="D43" s="176"/>
      <c r="E43" s="176"/>
      <c r="F43" s="176"/>
      <c r="G43" s="159"/>
      <c r="H43" s="33"/>
      <c r="I43" s="33"/>
      <c r="J43" s="33"/>
      <c r="K43" s="33"/>
      <c r="L43" s="113"/>
      <c r="M43" s="133"/>
    </row>
    <row r="44" spans="2:13" x14ac:dyDescent="0.25">
      <c r="B44" s="166"/>
      <c r="C44" s="168"/>
      <c r="D44" s="167"/>
      <c r="E44" s="134" t="s">
        <v>79</v>
      </c>
      <c r="F44" s="168"/>
      <c r="G44" s="198"/>
      <c r="H44" s="199"/>
      <c r="I44" s="199"/>
      <c r="J44" s="199"/>
      <c r="K44" s="199"/>
      <c r="L44" s="198">
        <v>500</v>
      </c>
      <c r="M44" s="133"/>
    </row>
    <row r="45" spans="2:13" x14ac:dyDescent="0.25">
      <c r="B45" s="134"/>
      <c r="C45" s="176"/>
      <c r="D45" s="233">
        <v>50</v>
      </c>
      <c r="E45" s="159"/>
      <c r="F45" s="176"/>
      <c r="G45" s="159"/>
      <c r="H45" s="33"/>
      <c r="I45" s="33"/>
      <c r="J45" s="33"/>
      <c r="K45" s="33"/>
      <c r="L45" s="232"/>
      <c r="M45" s="133"/>
    </row>
    <row r="46" spans="2:13" x14ac:dyDescent="0.25">
      <c r="B46" s="134"/>
      <c r="C46" s="176"/>
      <c r="D46" s="136"/>
      <c r="E46" s="176"/>
      <c r="F46" s="176"/>
      <c r="G46" s="159"/>
      <c r="H46" s="33"/>
      <c r="I46" s="33"/>
      <c r="J46" s="33"/>
      <c r="K46" s="33"/>
      <c r="L46" s="113"/>
      <c r="M46" s="133"/>
    </row>
    <row r="47" spans="2:13" x14ac:dyDescent="0.25">
      <c r="B47" s="134"/>
      <c r="C47" s="176"/>
      <c r="D47" s="136"/>
      <c r="E47" s="176"/>
      <c r="F47" s="176"/>
      <c r="G47" s="159"/>
      <c r="H47" s="33"/>
      <c r="I47" s="33"/>
      <c r="J47" s="33"/>
      <c r="K47" s="33"/>
      <c r="L47" s="113"/>
      <c r="M47" s="133"/>
    </row>
    <row r="48" spans="2:13" x14ac:dyDescent="0.25">
      <c r="B48" s="134" t="s">
        <v>79</v>
      </c>
      <c r="C48" s="176"/>
      <c r="D48" s="133">
        <v>450</v>
      </c>
      <c r="E48" s="176"/>
      <c r="F48" s="176"/>
      <c r="G48" s="159"/>
      <c r="H48" s="33"/>
      <c r="I48" s="33"/>
      <c r="J48" s="33"/>
      <c r="K48" s="33"/>
      <c r="L48" s="113"/>
      <c r="M48" s="133"/>
    </row>
    <row r="49" spans="2:13" ht="15.75" thickBot="1" x14ac:dyDescent="0.3">
      <c r="C49" s="176"/>
      <c r="D49" s="164">
        <f>+L49</f>
        <v>500</v>
      </c>
      <c r="E49" s="159"/>
      <c r="F49" s="159"/>
      <c r="G49" s="159"/>
      <c r="H49" s="33"/>
      <c r="I49" s="33"/>
      <c r="J49" s="33"/>
      <c r="K49" s="33"/>
      <c r="L49" s="191">
        <f>+L44</f>
        <v>500</v>
      </c>
      <c r="M49" s="133"/>
    </row>
    <row r="50" spans="2:13" ht="15.75" thickTop="1" x14ac:dyDescent="0.25">
      <c r="B50" s="134"/>
      <c r="C50" s="176"/>
      <c r="D50" s="136"/>
      <c r="E50" s="176"/>
      <c r="F50" s="176"/>
      <c r="G50" s="159"/>
      <c r="H50" s="33"/>
      <c r="I50" s="33"/>
      <c r="J50" s="33"/>
      <c r="K50" s="33"/>
      <c r="L50" s="113"/>
      <c r="M50" s="133"/>
    </row>
    <row r="51" spans="2:13" x14ac:dyDescent="0.25">
      <c r="B51" s="134"/>
      <c r="C51" s="176"/>
      <c r="D51" s="136"/>
      <c r="E51" s="176"/>
      <c r="F51" s="176"/>
      <c r="G51" s="159"/>
      <c r="H51" s="33"/>
      <c r="I51" s="33"/>
      <c r="J51" s="33"/>
      <c r="K51" s="33"/>
      <c r="L51" s="113"/>
      <c r="M51" s="133"/>
    </row>
    <row r="52" spans="2:13" x14ac:dyDescent="0.25">
      <c r="B52" s="134"/>
      <c r="C52" s="176"/>
      <c r="D52" s="176"/>
      <c r="E52" s="176"/>
      <c r="F52" s="176"/>
      <c r="G52" s="159"/>
      <c r="H52" s="33"/>
      <c r="I52" s="33"/>
      <c r="J52" s="33"/>
      <c r="K52" s="33"/>
      <c r="L52" s="113"/>
      <c r="M52" s="133"/>
    </row>
    <row r="53" spans="2:13" x14ac:dyDescent="0.25">
      <c r="B53" s="134" t="s">
        <v>274</v>
      </c>
      <c r="C53" s="189">
        <f>5000-500</f>
        <v>4500</v>
      </c>
      <c r="D53" s="189" t="s">
        <v>275</v>
      </c>
      <c r="E53" s="176"/>
      <c r="F53" s="176"/>
      <c r="G53" s="159"/>
      <c r="H53" s="33"/>
      <c r="I53" s="33"/>
      <c r="J53" s="33"/>
      <c r="K53" s="33"/>
      <c r="L53" s="113"/>
      <c r="M53" s="133"/>
    </row>
    <row r="54" spans="2:13" x14ac:dyDescent="0.25">
      <c r="B54" s="134"/>
      <c r="C54" s="197">
        <v>0.1</v>
      </c>
      <c r="D54" s="176"/>
      <c r="E54" s="176"/>
      <c r="F54" s="176"/>
      <c r="G54" s="159"/>
      <c r="H54" s="33"/>
      <c r="I54" s="33"/>
      <c r="J54" s="33"/>
      <c r="K54" s="33"/>
      <c r="L54" s="113"/>
      <c r="M54" s="133"/>
    </row>
    <row r="55" spans="2:13" x14ac:dyDescent="0.25">
      <c r="B55" s="134"/>
      <c r="C55" s="201">
        <f>+C53*C54</f>
        <v>450</v>
      </c>
      <c r="D55" s="159"/>
      <c r="E55" s="176"/>
      <c r="F55" s="176"/>
      <c r="G55" s="159"/>
      <c r="H55" s="33"/>
      <c r="I55" s="33"/>
      <c r="J55" s="33"/>
      <c r="K55" s="33"/>
      <c r="L55" s="113"/>
      <c r="M55" s="133"/>
    </row>
    <row r="56" spans="2:13" x14ac:dyDescent="0.25">
      <c r="B56" s="184"/>
      <c r="C56" s="172"/>
      <c r="D56" s="172"/>
      <c r="E56" s="172"/>
      <c r="F56" s="172"/>
      <c r="G56" s="185"/>
      <c r="H56" s="120"/>
      <c r="I56" s="120"/>
      <c r="J56" s="120"/>
      <c r="K56" s="120"/>
      <c r="L56" s="17"/>
      <c r="M56" s="173"/>
    </row>
    <row r="58" spans="2:13" x14ac:dyDescent="0.25">
      <c r="B58" s="166" t="s">
        <v>254</v>
      </c>
      <c r="C58" s="168"/>
      <c r="D58" s="167"/>
    </row>
    <row r="59" spans="2:13" x14ac:dyDescent="0.25">
      <c r="B59" s="134"/>
      <c r="C59" s="176"/>
      <c r="D59" s="136"/>
    </row>
    <row r="60" spans="2:13" x14ac:dyDescent="0.25">
      <c r="B60" s="134" t="s">
        <v>255</v>
      </c>
      <c r="C60" s="176" t="s">
        <v>256</v>
      </c>
      <c r="D60" s="136"/>
      <c r="F60" s="117"/>
    </row>
    <row r="61" spans="2:13" x14ac:dyDescent="0.25">
      <c r="B61" s="134"/>
      <c r="C61" s="176"/>
      <c r="D61" s="136"/>
      <c r="F61" s="117"/>
    </row>
    <row r="62" spans="2:13" x14ac:dyDescent="0.25">
      <c r="B62" s="134" t="s">
        <v>257</v>
      </c>
      <c r="C62" s="159">
        <v>600</v>
      </c>
      <c r="D62" s="194" t="s">
        <v>258</v>
      </c>
      <c r="F62" s="117"/>
    </row>
    <row r="63" spans="2:13" x14ac:dyDescent="0.25">
      <c r="B63" s="134"/>
      <c r="C63" s="176"/>
      <c r="D63" s="136"/>
      <c r="F63" s="117"/>
    </row>
    <row r="64" spans="2:13" x14ac:dyDescent="0.25">
      <c r="B64" s="134" t="s">
        <v>259</v>
      </c>
      <c r="C64" s="159">
        <v>-500</v>
      </c>
      <c r="D64" s="136"/>
    </row>
    <row r="65" spans="2:4" x14ac:dyDescent="0.25">
      <c r="B65" s="134"/>
      <c r="C65" s="176"/>
      <c r="D65" s="136"/>
    </row>
    <row r="66" spans="2:4" x14ac:dyDescent="0.25">
      <c r="B66" s="134" t="s">
        <v>260</v>
      </c>
      <c r="C66" s="202">
        <v>100</v>
      </c>
      <c r="D66" s="136"/>
    </row>
    <row r="67" spans="2:4" x14ac:dyDescent="0.25">
      <c r="B67" s="184"/>
      <c r="C67" s="172"/>
      <c r="D67" s="171"/>
    </row>
    <row r="69" spans="2:4" x14ac:dyDescent="0.25">
      <c r="B69" s="166" t="s">
        <v>261</v>
      </c>
      <c r="C69" s="168"/>
      <c r="D69" s="167"/>
    </row>
    <row r="70" spans="2:4" x14ac:dyDescent="0.25">
      <c r="B70" s="134"/>
      <c r="C70" s="176"/>
      <c r="D70" s="136"/>
    </row>
    <row r="71" spans="2:4" x14ac:dyDescent="0.25">
      <c r="B71" s="139" t="s">
        <v>222</v>
      </c>
      <c r="C71" s="159">
        <v>4000</v>
      </c>
      <c r="D71" s="136"/>
    </row>
    <row r="72" spans="2:4" x14ac:dyDescent="0.25">
      <c r="B72" s="134"/>
      <c r="C72" s="176"/>
      <c r="D72" s="136"/>
    </row>
    <row r="73" spans="2:4" x14ac:dyDescent="0.25">
      <c r="B73" s="134" t="s">
        <v>262</v>
      </c>
      <c r="C73" s="159">
        <v>480</v>
      </c>
      <c r="D73" s="194" t="s">
        <v>263</v>
      </c>
    </row>
    <row r="74" spans="2:4" x14ac:dyDescent="0.25">
      <c r="B74" s="134"/>
      <c r="C74" s="176"/>
      <c r="D74" s="136"/>
    </row>
    <row r="75" spans="2:4" x14ac:dyDescent="0.25">
      <c r="B75" s="134" t="s">
        <v>264</v>
      </c>
      <c r="C75" s="202">
        <v>40</v>
      </c>
      <c r="D75" s="194" t="s">
        <v>265</v>
      </c>
    </row>
    <row r="76" spans="2:4" x14ac:dyDescent="0.25">
      <c r="B76" s="134"/>
      <c r="C76" s="176"/>
      <c r="D76" s="136"/>
    </row>
    <row r="77" spans="2:4" x14ac:dyDescent="0.25">
      <c r="B77" s="184"/>
      <c r="C77" s="172"/>
      <c r="D77" s="171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8B9F6A038FFD48B3F53FADE6F03746" ma:contentTypeVersion="4" ma:contentTypeDescription="Create a new document." ma:contentTypeScope="" ma:versionID="b899c2094ad987f3a5c3990260ae6547">
  <xsd:schema xmlns:xsd="http://www.w3.org/2001/XMLSchema" xmlns:xs="http://www.w3.org/2001/XMLSchema" xmlns:p="http://schemas.microsoft.com/office/2006/metadata/properties" xmlns:ns3="ce34ec9d-2eee-4de5-8715-295ccce08ae8" targetNamespace="http://schemas.microsoft.com/office/2006/metadata/properties" ma:root="true" ma:fieldsID="96c671814de7f842aea96d6791c3853d" ns3:_="">
    <xsd:import namespace="ce34ec9d-2eee-4de5-8715-295ccce08a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34ec9d-2eee-4de5-8715-295ccce08a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BD12FA-EE3B-4C47-BE0C-95E7147BE4CE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ce34ec9d-2eee-4de5-8715-295ccce08ae8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8A05D2-C305-496D-B281-4821631F10E3}">
  <ds:schemaRefs>
    <ds:schemaRef ds:uri="http://schemas.microsoft.com/office/2006/metadata/properties"/>
    <ds:schemaRef ds:uri="http://www.w3.org/2000/xmln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CC267AE-C80C-45BF-A044-94AFD7E001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1.1 - 1.10</vt:lpstr>
      <vt:lpstr>Q2</vt:lpstr>
      <vt:lpstr>Q3</vt:lpstr>
      <vt:lpstr>Q4</vt:lpstr>
      <vt:lpstr>Q5</vt:lpstr>
      <vt:lpstr>Q6</vt:lpstr>
      <vt:lpstr>Q7</vt:lpstr>
      <vt:lpstr>Q7 Workings</vt:lpstr>
      <vt:lpstr>'1.1 - 1.10'!Print_Area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vLearning 1</cp:lastModifiedBy>
  <cp:lastPrinted>2023-03-11T05:59:36Z</cp:lastPrinted>
  <dcterms:created xsi:type="dcterms:W3CDTF">2021-07-27T03:09:30Z</dcterms:created>
  <dcterms:modified xsi:type="dcterms:W3CDTF">2023-03-11T06:04:34Z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0x0101005F8B9F6A038FFD48B3F53FADE6F03746</vt:lpwstr>
  </property>
</Properties>
</file>