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rocess File\AMA\Short Term Decision\"/>
    </mc:Choice>
  </mc:AlternateContent>
  <bookViews>
    <workbookView xWindow="-120" yWindow="-120" windowWidth="20730" windowHeight="11160" tabRatio="923" firstSheet="11" activeTab="34"/>
  </bookViews>
  <sheets>
    <sheet name="Sheet1" sheetId="1" r:id="rId1"/>
    <sheet name="E1" sheetId="2" r:id="rId2"/>
    <sheet name="E2" sheetId="3" r:id="rId3"/>
    <sheet name="E3" sheetId="65" r:id="rId4"/>
    <sheet name="E4" sheetId="34" r:id="rId5"/>
    <sheet name="E5" sheetId="35" r:id="rId6"/>
    <sheet name="E6" sheetId="37" r:id="rId7"/>
    <sheet name="E7" sheetId="38" r:id="rId8"/>
    <sheet name="E8" sheetId="39" r:id="rId9"/>
    <sheet name="E10" sheetId="40" r:id="rId10"/>
    <sheet name="E11" sheetId="41" r:id="rId11"/>
    <sheet name="E12" sheetId="42" r:id="rId12"/>
    <sheet name="E13" sheetId="43" r:id="rId13"/>
    <sheet name="E14" sheetId="45" r:id="rId14"/>
    <sheet name="E15" sheetId="47" r:id="rId15"/>
    <sheet name="E16" sheetId="48" r:id="rId16"/>
    <sheet name="E17" sheetId="49" r:id="rId17"/>
    <sheet name="E18" sheetId="50" r:id="rId18"/>
    <sheet name="E19 A" sheetId="51" r:id="rId19"/>
    <sheet name="E19 B" sheetId="46" r:id="rId20"/>
    <sheet name="E20" sheetId="44" r:id="rId21"/>
    <sheet name="E21" sheetId="52" r:id="rId22"/>
    <sheet name="E22" sheetId="53" r:id="rId23"/>
    <sheet name="E23" sheetId="54" r:id="rId24"/>
    <sheet name="E24" sheetId="56" r:id="rId25"/>
    <sheet name="E25" sheetId="57" r:id="rId26"/>
    <sheet name="E26" sheetId="58" r:id="rId27"/>
    <sheet name="E27" sheetId="61" r:id="rId28"/>
    <sheet name="E28" sheetId="62" r:id="rId29"/>
    <sheet name="Q1" sheetId="55" r:id="rId30"/>
    <sheet name="Q2" sheetId="59" r:id="rId31"/>
    <sheet name="Q3" sheetId="60" r:id="rId32"/>
    <sheet name="Q4" sheetId="63" r:id="rId33"/>
    <sheet name="Q5" sheetId="36" r:id="rId34"/>
    <sheet name="Q6" sheetId="64" r:id="rId3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" i="49" l="1"/>
  <c r="D70" i="49"/>
  <c r="C70" i="49"/>
  <c r="D73" i="49"/>
  <c r="D74" i="49"/>
  <c r="C71" i="49"/>
  <c r="C66" i="49"/>
  <c r="D58" i="49"/>
  <c r="D57" i="49"/>
  <c r="C55" i="49"/>
  <c r="C54" i="49"/>
  <c r="D54" i="49"/>
  <c r="C50" i="49"/>
  <c r="D34" i="49"/>
  <c r="D33" i="49"/>
  <c r="D32" i="49"/>
  <c r="H132" i="48"/>
  <c r="H130" i="48"/>
  <c r="D129" i="48"/>
  <c r="D128" i="48"/>
  <c r="D125" i="48"/>
  <c r="C125" i="48"/>
  <c r="C119" i="48"/>
  <c r="C120" i="48" s="1"/>
  <c r="C121" i="48" s="1"/>
  <c r="H109" i="48"/>
  <c r="H107" i="48"/>
  <c r="D107" i="48"/>
  <c r="D106" i="48"/>
  <c r="D105" i="48"/>
  <c r="C103" i="48"/>
  <c r="C102" i="48"/>
  <c r="D102" i="48"/>
  <c r="C98" i="48"/>
  <c r="C97" i="48"/>
  <c r="C96" i="48"/>
  <c r="C95" i="48"/>
  <c r="C79" i="48"/>
  <c r="E79" i="48" s="1"/>
  <c r="B70" i="48"/>
  <c r="C74" i="48" s="1"/>
  <c r="B74" i="48" s="1"/>
  <c r="B75" i="48" s="1"/>
  <c r="C78" i="48" s="1"/>
  <c r="E78" i="48" s="1"/>
  <c r="B67" i="48"/>
  <c r="B65" i="48"/>
  <c r="B69" i="48" s="1"/>
  <c r="E49" i="48"/>
  <c r="E38" i="48"/>
  <c r="E37" i="48"/>
  <c r="E36" i="48"/>
  <c r="E18" i="48"/>
  <c r="C18" i="48"/>
  <c r="E17" i="48"/>
  <c r="C17" i="48"/>
  <c r="B51" i="47"/>
  <c r="C44" i="47"/>
  <c r="C42" i="47"/>
  <c r="C41" i="47"/>
  <c r="C40" i="47"/>
  <c r="C39" i="47"/>
  <c r="G31" i="47"/>
  <c r="G30" i="47"/>
  <c r="G29" i="47"/>
  <c r="B34" i="47"/>
  <c r="D34" i="47"/>
  <c r="D33" i="47"/>
  <c r="C33" i="47"/>
  <c r="D35" i="47"/>
  <c r="D32" i="47"/>
  <c r="D30" i="47"/>
  <c r="D31" i="47"/>
  <c r="D29" i="47"/>
  <c r="C23" i="47"/>
  <c r="D23" i="47"/>
  <c r="B23" i="47"/>
  <c r="D22" i="47"/>
  <c r="C22" i="47"/>
  <c r="B22" i="47"/>
  <c r="D21" i="47"/>
  <c r="C21" i="47"/>
  <c r="B21" i="47"/>
  <c r="D12" i="47"/>
  <c r="D10" i="47"/>
  <c r="D8" i="47"/>
  <c r="D9" i="47"/>
  <c r="D7" i="47"/>
  <c r="C9" i="47"/>
  <c r="C8" i="47"/>
  <c r="C7" i="47"/>
  <c r="C45" i="45"/>
  <c r="C43" i="45"/>
  <c r="H21" i="45"/>
  <c r="C38" i="45"/>
  <c r="C36" i="45"/>
  <c r="C35" i="45"/>
  <c r="C34" i="45"/>
  <c r="B29" i="45"/>
  <c r="D29" i="45"/>
  <c r="D28" i="45"/>
  <c r="E22" i="45"/>
  <c r="C22" i="45"/>
  <c r="E21" i="45"/>
  <c r="C21" i="45"/>
  <c r="E20" i="45"/>
  <c r="E19" i="45"/>
  <c r="C20" i="45"/>
  <c r="C19" i="45"/>
  <c r="D11" i="45"/>
  <c r="D9" i="45"/>
  <c r="D8" i="45"/>
  <c r="D7" i="45"/>
  <c r="C33" i="38"/>
  <c r="C35" i="38" s="1"/>
  <c r="C27" i="38"/>
  <c r="C18" i="38"/>
  <c r="C20" i="38" s="1"/>
  <c r="C12" i="38"/>
  <c r="C13" i="38" s="1"/>
  <c r="F11" i="38"/>
  <c r="C11" i="38"/>
  <c r="E10" i="38"/>
  <c r="E9" i="38"/>
  <c r="B28" i="42"/>
  <c r="F20" i="42"/>
  <c r="C27" i="42" s="1"/>
  <c r="D27" i="42" s="1"/>
  <c r="E20" i="42"/>
  <c r="D20" i="42"/>
  <c r="E19" i="42"/>
  <c r="D19" i="42"/>
  <c r="F19" i="42" s="1"/>
  <c r="C26" i="42" s="1"/>
  <c r="D26" i="42" s="1"/>
  <c r="E18" i="42"/>
  <c r="D18" i="42"/>
  <c r="F18" i="42" s="1"/>
  <c r="K16" i="42"/>
  <c r="J16" i="42"/>
  <c r="I16" i="42"/>
  <c r="L16" i="42" s="1"/>
  <c r="K15" i="42"/>
  <c r="J15" i="42"/>
  <c r="K13" i="42"/>
  <c r="J13" i="42"/>
  <c r="I13" i="42"/>
  <c r="I15" i="42" s="1"/>
  <c r="L15" i="42" s="1"/>
  <c r="C12" i="42"/>
  <c r="C7" i="42"/>
  <c r="D75" i="49" l="1"/>
  <c r="D59" i="49"/>
  <c r="C126" i="48"/>
  <c r="D130" i="48" s="1"/>
  <c r="E20" i="48"/>
  <c r="E80" i="48"/>
  <c r="C20" i="48"/>
  <c r="H22" i="45"/>
  <c r="H13" i="38"/>
  <c r="H11" i="38" s="1"/>
  <c r="F13" i="38"/>
  <c r="F7" i="38"/>
  <c r="F12" i="38" s="1"/>
  <c r="F14" i="38" s="1"/>
  <c r="F21" i="42"/>
  <c r="C25" i="42"/>
  <c r="D25" i="42" s="1"/>
  <c r="D28" i="42" s="1"/>
  <c r="D41" i="43" l="1"/>
  <c r="D40" i="43"/>
  <c r="D39" i="43"/>
  <c r="B37" i="43"/>
  <c r="F33" i="43"/>
  <c r="F31" i="43"/>
  <c r="F32" i="43"/>
  <c r="F30" i="43"/>
  <c r="E32" i="43"/>
  <c r="E31" i="43"/>
  <c r="E30" i="43"/>
  <c r="D33" i="43"/>
  <c r="D32" i="43"/>
  <c r="D31" i="43"/>
  <c r="D30" i="43"/>
  <c r="C28" i="43"/>
  <c r="J14" i="43"/>
  <c r="H14" i="43"/>
  <c r="I14" i="43"/>
  <c r="G14" i="43"/>
  <c r="J11" i="43"/>
  <c r="C22" i="43"/>
  <c r="C20" i="43"/>
  <c r="C13" i="43"/>
  <c r="C11" i="43"/>
  <c r="C10" i="43"/>
  <c r="J12" i="43"/>
  <c r="H9" i="43"/>
  <c r="I9" i="43"/>
  <c r="G9" i="43"/>
  <c r="E49" i="41"/>
  <c r="E48" i="41"/>
  <c r="E47" i="41"/>
  <c r="B48" i="41"/>
  <c r="F45" i="41"/>
  <c r="F43" i="41"/>
  <c r="F44" i="41"/>
  <c r="F42" i="41"/>
  <c r="D45" i="41"/>
  <c r="D44" i="41"/>
  <c r="D43" i="41"/>
  <c r="D42" i="41"/>
  <c r="B40" i="41"/>
  <c r="B38" i="41"/>
  <c r="B32" i="41"/>
  <c r="F34" i="41"/>
  <c r="I33" i="41"/>
  <c r="I32" i="41"/>
  <c r="I31" i="41"/>
  <c r="F33" i="41"/>
  <c r="F32" i="41"/>
  <c r="F31" i="41"/>
  <c r="F30" i="41"/>
  <c r="C25" i="41"/>
  <c r="C24" i="41"/>
  <c r="C23" i="41"/>
  <c r="C18" i="41"/>
  <c r="B18" i="41"/>
  <c r="C17" i="41"/>
  <c r="B17" i="41"/>
  <c r="D16" i="41"/>
  <c r="D17" i="41" s="1"/>
  <c r="D18" i="41" s="1"/>
  <c r="E15" i="41"/>
  <c r="D5" i="41"/>
  <c r="D9" i="41" s="1"/>
  <c r="C5" i="41"/>
  <c r="C9" i="41" s="1"/>
  <c r="B5" i="41"/>
  <c r="E5" i="41" s="1"/>
  <c r="B8" i="41" l="1"/>
  <c r="C8" i="41"/>
  <c r="D8" i="41"/>
  <c r="D10" i="41" s="1"/>
  <c r="D11" i="41" s="1"/>
  <c r="C10" i="41"/>
  <c r="C11" i="41" s="1"/>
  <c r="B10" i="41"/>
  <c r="E8" i="41"/>
  <c r="B16" i="41"/>
  <c r="B9" i="41"/>
  <c r="C16" i="41" l="1"/>
  <c r="B11" i="41"/>
  <c r="E16" i="41" l="1"/>
  <c r="E17" i="41" l="1"/>
  <c r="E18" i="41" l="1"/>
  <c r="B20" i="41"/>
  <c r="E20" i="40" l="1"/>
  <c r="D20" i="40"/>
  <c r="C20" i="40"/>
  <c r="B20" i="40"/>
  <c r="E18" i="40"/>
  <c r="E19" i="40"/>
  <c r="D19" i="40"/>
  <c r="C19" i="40"/>
  <c r="B19" i="40"/>
  <c r="D18" i="40"/>
  <c r="C18" i="40"/>
  <c r="B18" i="40"/>
  <c r="E17" i="40"/>
  <c r="D11" i="40"/>
  <c r="C11" i="40"/>
  <c r="B11" i="40"/>
  <c r="D10" i="40"/>
  <c r="C10" i="40"/>
  <c r="B10" i="40"/>
  <c r="C39" i="39"/>
  <c r="C38" i="39"/>
  <c r="C37" i="39"/>
  <c r="C36" i="39"/>
  <c r="C33" i="39"/>
  <c r="C29" i="39"/>
  <c r="C23" i="39"/>
  <c r="C22" i="39"/>
  <c r="C19" i="39"/>
  <c r="D12" i="39"/>
  <c r="C12" i="39"/>
  <c r="D11" i="39"/>
  <c r="D9" i="39"/>
  <c r="D7" i="39"/>
  <c r="D6" i="39"/>
  <c r="D5" i="39"/>
  <c r="C11" i="39"/>
  <c r="C9" i="39"/>
  <c r="C7" i="39"/>
  <c r="C6" i="39"/>
  <c r="C5" i="39"/>
  <c r="B11" i="39"/>
  <c r="B9" i="39"/>
  <c r="B7" i="39"/>
  <c r="B6" i="39"/>
  <c r="B5" i="39"/>
  <c r="D30" i="37"/>
  <c r="H29" i="37"/>
  <c r="D28" i="37"/>
  <c r="D26" i="37"/>
  <c r="D24" i="37"/>
  <c r="G22" i="37"/>
  <c r="D22" i="37"/>
  <c r="D18" i="37"/>
  <c r="G14" i="37"/>
  <c r="D14" i="37"/>
  <c r="D10" i="37"/>
  <c r="D6" i="37"/>
  <c r="H12" i="35"/>
  <c r="F10" i="35"/>
  <c r="F5" i="35"/>
  <c r="G9" i="35"/>
  <c r="G10" i="35"/>
  <c r="F9" i="35"/>
  <c r="E9" i="35"/>
  <c r="E8" i="35"/>
  <c r="E7" i="35"/>
  <c r="F12" i="35"/>
  <c r="C12" i="35"/>
  <c r="C10" i="35"/>
  <c r="C9" i="35"/>
  <c r="D11" i="34"/>
  <c r="D10" i="34"/>
  <c r="C10" i="34"/>
  <c r="C8" i="34"/>
  <c r="C7" i="34"/>
  <c r="D12" i="65"/>
  <c r="D11" i="65"/>
  <c r="N7" i="65"/>
  <c r="N6" i="65"/>
  <c r="D10" i="65"/>
  <c r="C10" i="65"/>
  <c r="C9" i="65"/>
  <c r="D8" i="65"/>
  <c r="C8" i="65"/>
  <c r="C7" i="65"/>
  <c r="D6" i="65"/>
  <c r="C9" i="3"/>
  <c r="C8" i="3"/>
  <c r="C6" i="3"/>
  <c r="C12" i="2"/>
  <c r="C9" i="2"/>
  <c r="C6" i="2"/>
  <c r="C5" i="2"/>
  <c r="C27" i="36"/>
  <c r="C25" i="36"/>
  <c r="C24" i="36"/>
  <c r="C21" i="36"/>
  <c r="C9" i="36"/>
  <c r="C5" i="36"/>
</calcChain>
</file>

<file path=xl/sharedStrings.xml><?xml version="1.0" encoding="utf-8"?>
<sst xmlns="http://schemas.openxmlformats.org/spreadsheetml/2006/main" count="845" uniqueCount="517">
  <si>
    <t>Stage 1</t>
  </si>
  <si>
    <t>Stage 2</t>
  </si>
  <si>
    <t>Stage 3</t>
  </si>
  <si>
    <t>Stage 4</t>
  </si>
  <si>
    <t>Stage 5</t>
  </si>
  <si>
    <t>Stage 6</t>
  </si>
  <si>
    <t>Stage 7</t>
  </si>
  <si>
    <t>Cost of product</t>
  </si>
  <si>
    <t>Relevant Cost of product</t>
  </si>
  <si>
    <t>Fixed</t>
  </si>
  <si>
    <t>Vary</t>
  </si>
  <si>
    <t>Relevant cost</t>
  </si>
  <si>
    <t>=</t>
  </si>
  <si>
    <t>Future + Incremental + Cash outflow</t>
  </si>
  <si>
    <t>Incremental cost + Opportunity cost</t>
  </si>
  <si>
    <t>Variable cost + Addi. Fixed Cost + Opportunity cost</t>
  </si>
  <si>
    <t>Avoidable cost</t>
  </si>
  <si>
    <t>Differential cost</t>
  </si>
  <si>
    <t>Releveant cost is the additional cost to be incured in future as a result of specific management decision.</t>
  </si>
  <si>
    <t>Not relevant cost</t>
  </si>
  <si>
    <t>Sunk cost - already incured and paid, can not be recovered</t>
  </si>
  <si>
    <t>Committed cost  - Already incurred, not paid but can not be avoided.</t>
  </si>
  <si>
    <t>Notional cost - Cost just for the name sake</t>
  </si>
  <si>
    <t>Abosrption of exisiting fixed overhead cost</t>
  </si>
  <si>
    <t>Allocation of head office cost</t>
  </si>
  <si>
    <t>Book values</t>
  </si>
  <si>
    <t>200,000*85%</t>
  </si>
  <si>
    <t>Variable cost</t>
  </si>
  <si>
    <t>Opportunity cost</t>
  </si>
  <si>
    <t>Material + Labour + Other direct cost + Addi. Fixed Cost + Opportunity cost</t>
  </si>
  <si>
    <t>Subsitute</t>
  </si>
  <si>
    <t>Relevant material cost</t>
  </si>
  <si>
    <t>P</t>
  </si>
  <si>
    <t>1,000*24</t>
  </si>
  <si>
    <t>Q</t>
  </si>
  <si>
    <t>400*20</t>
  </si>
  <si>
    <t>600*20</t>
  </si>
  <si>
    <t>R</t>
  </si>
  <si>
    <t>300*16</t>
  </si>
  <si>
    <t>700*10</t>
  </si>
  <si>
    <t>S</t>
  </si>
  <si>
    <t>300*20</t>
  </si>
  <si>
    <t>200*24</t>
  </si>
  <si>
    <t>Sales</t>
  </si>
  <si>
    <t>(-) Relevant cost</t>
  </si>
  <si>
    <t>Variable OH</t>
  </si>
  <si>
    <t>Selling price</t>
  </si>
  <si>
    <t>(-) Variable cost</t>
  </si>
  <si>
    <t>Material</t>
  </si>
  <si>
    <t>Labour</t>
  </si>
  <si>
    <t>Contribution</t>
  </si>
  <si>
    <t>68/150*100</t>
  </si>
  <si>
    <t>Next year</t>
  </si>
  <si>
    <t>40*1.1</t>
  </si>
  <si>
    <t>32*1.25</t>
  </si>
  <si>
    <t>Fixed cost</t>
  </si>
  <si>
    <t>C/S Ratio</t>
  </si>
  <si>
    <t>30,000*40</t>
  </si>
  <si>
    <t>(-) Fixed cost</t>
  </si>
  <si>
    <t>Profit</t>
  </si>
  <si>
    <t>PV Ratio</t>
  </si>
  <si>
    <t>b)</t>
  </si>
  <si>
    <t>Limiting factor analysis</t>
  </si>
  <si>
    <t>Scenario 1</t>
  </si>
  <si>
    <t>Multiple products, single limiting factor</t>
  </si>
  <si>
    <t>Scenario 2</t>
  </si>
  <si>
    <t>Scenario 3</t>
  </si>
  <si>
    <t>Multiple products, Multiple limiting factor</t>
  </si>
  <si>
    <t>Mathematical approch</t>
  </si>
  <si>
    <t>2 prodcusts, multiple limiting facors</t>
  </si>
  <si>
    <t>LP - Graphical approach</t>
  </si>
  <si>
    <t>LP - Simplex approach</t>
  </si>
  <si>
    <t>Use simplex method too</t>
  </si>
  <si>
    <t>Linear</t>
  </si>
  <si>
    <t>Programing</t>
  </si>
  <si>
    <t>Lines</t>
  </si>
  <si>
    <t>Develop</t>
  </si>
  <si>
    <t>Total contribution</t>
  </si>
  <si>
    <t>c)</t>
  </si>
  <si>
    <t>Direct labour</t>
  </si>
  <si>
    <t>Fixed overhead</t>
  </si>
  <si>
    <t>6,400,000*40%</t>
  </si>
  <si>
    <t>No. of units</t>
  </si>
  <si>
    <t>a)</t>
  </si>
  <si>
    <t>Sales Qty</t>
  </si>
  <si>
    <t>BEP Units</t>
  </si>
  <si>
    <t>2,000*10</t>
  </si>
  <si>
    <t>2,000*12</t>
  </si>
  <si>
    <t>2,000*5</t>
  </si>
  <si>
    <t>Incremental profit</t>
  </si>
  <si>
    <t>Variable overhead</t>
  </si>
  <si>
    <t>50,000*500</t>
  </si>
  <si>
    <t>Exiting</t>
  </si>
  <si>
    <t xml:space="preserve">Contribution </t>
  </si>
  <si>
    <t>10/32*40</t>
  </si>
  <si>
    <t>Meaning</t>
  </si>
  <si>
    <t>40/100*100</t>
  </si>
  <si>
    <t>Fixed cost / CS Ratio</t>
  </si>
  <si>
    <t>15,000*100</t>
  </si>
  <si>
    <t>d)</t>
  </si>
  <si>
    <t>Units to traget profit</t>
  </si>
  <si>
    <t>(Target Profit + Fixed cost) / Contribution per unit</t>
  </si>
  <si>
    <t>e)</t>
  </si>
  <si>
    <t>Present profit</t>
  </si>
  <si>
    <t>Exercise 07</t>
  </si>
  <si>
    <t>500/1,500*100</t>
  </si>
  <si>
    <t>500*1.25</t>
  </si>
  <si>
    <t>300*1.2</t>
  </si>
  <si>
    <t>Increse in selling price =1,777.50-1500.00</t>
  </si>
  <si>
    <t>Rs.277.50</t>
  </si>
  <si>
    <t>Calculation of existing profit</t>
  </si>
  <si>
    <t>2,000*500</t>
  </si>
  <si>
    <t>Exisitng profit</t>
  </si>
  <si>
    <t>Revised fixed cost</t>
  </si>
  <si>
    <t>600,000+102,500</t>
  </si>
  <si>
    <t>(400,000+702,500)/(1,500-1,185)</t>
  </si>
  <si>
    <t>1,102,500/315</t>
  </si>
  <si>
    <t>Extra sales volume</t>
  </si>
  <si>
    <t>3,500-2,000</t>
  </si>
  <si>
    <t>units</t>
  </si>
  <si>
    <t>592.5*2,000</t>
  </si>
  <si>
    <t>Exercise 08</t>
  </si>
  <si>
    <t>Sales @ Rs.100</t>
  </si>
  <si>
    <t>Exercise 10</t>
  </si>
  <si>
    <t>A</t>
  </si>
  <si>
    <t>B</t>
  </si>
  <si>
    <t>C</t>
  </si>
  <si>
    <t>Step 2 - Ranking</t>
  </si>
  <si>
    <t>Step 1 - Calculate PV Ratio</t>
  </si>
  <si>
    <t>Cum. Sales</t>
  </si>
  <si>
    <t>B,C</t>
  </si>
  <si>
    <t>B,C,A</t>
  </si>
  <si>
    <t>Profit path</t>
  </si>
  <si>
    <t>BEP</t>
  </si>
  <si>
    <t>MOS</t>
  </si>
  <si>
    <t>Exercise 11</t>
  </si>
  <si>
    <t>SP</t>
  </si>
  <si>
    <t>VC</t>
  </si>
  <si>
    <t>Sales value</t>
  </si>
  <si>
    <t>Ranking</t>
  </si>
  <si>
    <t>Pro. Mix</t>
  </si>
  <si>
    <t>Cum Sales</t>
  </si>
  <si>
    <t>Cum Contri.</t>
  </si>
  <si>
    <t>Cum Profit</t>
  </si>
  <si>
    <t>A,B</t>
  </si>
  <si>
    <t>A,B,C</t>
  </si>
  <si>
    <t>Profit line</t>
  </si>
  <si>
    <t>B)</t>
  </si>
  <si>
    <t>Increase in sales</t>
  </si>
  <si>
    <t>6,840,000*20%</t>
  </si>
  <si>
    <t>Increase in contribution</t>
  </si>
  <si>
    <t>Cum. PV Ratio</t>
  </si>
  <si>
    <t>1,710,000/6,840,000*100</t>
  </si>
  <si>
    <t>1,368,000*25%</t>
  </si>
  <si>
    <t>Cum. Sales Ratio</t>
  </si>
  <si>
    <t>BEP Sales</t>
  </si>
  <si>
    <t>Act. Sales</t>
  </si>
  <si>
    <t>Unit SP</t>
  </si>
  <si>
    <t>Exercise 12</t>
  </si>
  <si>
    <t>Fixed cost / Cum. PV Ratio</t>
  </si>
  <si>
    <t>Contri.</t>
  </si>
  <si>
    <t>Sales Ratio</t>
  </si>
  <si>
    <t>Cum. Contri</t>
  </si>
  <si>
    <t>Cum. Contri / Cum Sales</t>
  </si>
  <si>
    <t>75/270</t>
  </si>
  <si>
    <t>5,400,000/27.78%</t>
  </si>
  <si>
    <t>50/270</t>
  </si>
  <si>
    <t>170/270</t>
  </si>
  <si>
    <t>Cum. BEP Sales</t>
  </si>
  <si>
    <t>b) Calculate MOS</t>
  </si>
  <si>
    <t>BEP Sales Qty</t>
  </si>
  <si>
    <t>VOH</t>
  </si>
  <si>
    <t>Streight Line with a constant angle</t>
  </si>
  <si>
    <t>Qty</t>
  </si>
  <si>
    <t>(-) VC</t>
  </si>
  <si>
    <t>S. Labour</t>
  </si>
  <si>
    <t>US Labour</t>
  </si>
  <si>
    <t>Homework</t>
  </si>
  <si>
    <t>Question 5 - Relevant cost</t>
  </si>
  <si>
    <t>Balance 20,000Kgs should be purchased from market at Ra.410/Kg</t>
  </si>
  <si>
    <t>Existing 40,000Kg purchased at Rs.400 is not relevant because it is a sunk cost</t>
  </si>
  <si>
    <t>However 40,000Kgs can be used for the production and it should be replaced at Rs.410/Kg since it is regularly used</t>
  </si>
  <si>
    <t>Material cost - Latex</t>
  </si>
  <si>
    <t>Material cost - Chemical</t>
  </si>
  <si>
    <t>Value of existing chemical stock bought at Rs.1,500/- is not relevant as it is a sunk cost.</t>
  </si>
  <si>
    <t>Chemical is regularly used product and there is n intention to sell them at Rs.1,350/-</t>
  </si>
  <si>
    <t>If 10,000Kgs of chemical used from thestock it should be replaced at purchase price f Rs.1,450/-</t>
  </si>
  <si>
    <t>60,000*410</t>
  </si>
  <si>
    <t>10,000*1,450</t>
  </si>
  <si>
    <t>Value of existing pigment stock bought at Rs.10,000/- is not relevant as it is a sunk cost.</t>
  </si>
  <si>
    <t>Material cost - Pigment</t>
  </si>
  <si>
    <t>Purchasing at Rs.7,000/Kg is not necessary since it is not regulrlay use item.</t>
  </si>
  <si>
    <t>There is no opportunity to sell them in the open market</t>
  </si>
  <si>
    <t>It is assumed that labur cost is additonal cost for this job</t>
  </si>
  <si>
    <t>It is assumed that VOH cost is additonal cost for this job</t>
  </si>
  <si>
    <t>60% of FOH is an absoption exiting cost which is not incremental and therefore it is not relevant</t>
  </si>
  <si>
    <t>40% of FOH is an additonal cost and therefore it is relevant</t>
  </si>
  <si>
    <t>If the rder accepted, company has to sacrifice contribution from other product which is relevant</t>
  </si>
  <si>
    <t>Total relevanr cost f the job</t>
  </si>
  <si>
    <t>Minimum selling price per band</t>
  </si>
  <si>
    <t>Exercise 01</t>
  </si>
  <si>
    <t>Capaicity</t>
  </si>
  <si>
    <t>Operating level</t>
  </si>
  <si>
    <t>Spare capacity</t>
  </si>
  <si>
    <t>Add. Fixed cost</t>
  </si>
  <si>
    <t>25*15,000</t>
  </si>
  <si>
    <t>Exercise 02</t>
  </si>
  <si>
    <t>Relevant cost of new order</t>
  </si>
  <si>
    <t>1,500*15</t>
  </si>
  <si>
    <t>Additional fixed cost</t>
  </si>
  <si>
    <t>1,500*3*(20-12)</t>
  </si>
  <si>
    <t>Exercise 3</t>
  </si>
  <si>
    <t>2 Options</t>
  </si>
  <si>
    <t>No.1</t>
  </si>
  <si>
    <t>Sale</t>
  </si>
  <si>
    <t>No.2</t>
  </si>
  <si>
    <t>Next best alternative foregone</t>
  </si>
  <si>
    <t>Exercise 4</t>
  </si>
  <si>
    <t>FOH</t>
  </si>
  <si>
    <t>Not an additional cost</t>
  </si>
  <si>
    <t>Opporinity cost</t>
  </si>
  <si>
    <t xml:space="preserve">Recommanded to accpet the new job. </t>
  </si>
  <si>
    <t>Exercise 5</t>
  </si>
  <si>
    <t>Current</t>
  </si>
  <si>
    <t>Exercise 6</t>
  </si>
  <si>
    <t>Contribution / Selliing price *100</t>
  </si>
  <si>
    <t>Fixed cost / Unit contribution</t>
  </si>
  <si>
    <t>600,000 / 40</t>
  </si>
  <si>
    <t>BEP in Sales Value</t>
  </si>
  <si>
    <t>600,000/40%</t>
  </si>
  <si>
    <t>Fixed cost / PV Ratio</t>
  </si>
  <si>
    <t>or</t>
  </si>
  <si>
    <t>BEP units * SP</t>
  </si>
  <si>
    <t>Units to target profit</t>
  </si>
  <si>
    <t>(TP + FC ) / Unit contribution</t>
  </si>
  <si>
    <t>(200,000 + 600,000) / 40</t>
  </si>
  <si>
    <t>Sales to target profit</t>
  </si>
  <si>
    <t>(TP + FC ) / PV Ratio</t>
  </si>
  <si>
    <t>(200,000 + 600,000) / 40%</t>
  </si>
  <si>
    <t>Target units * SP</t>
  </si>
  <si>
    <t>20,000*100</t>
  </si>
  <si>
    <t>Present contribution</t>
  </si>
  <si>
    <t>Required contributin</t>
  </si>
  <si>
    <t>Revised contribution per unit</t>
  </si>
  <si>
    <t>100-(60*1.25)</t>
  </si>
  <si>
    <t>No. of units required</t>
  </si>
  <si>
    <t>No. units</t>
  </si>
  <si>
    <t>(-) VC @ Rs.60</t>
  </si>
  <si>
    <t>* Once the BEP is achived, the additonal will be the profit</t>
  </si>
  <si>
    <t>* Otherway f calculating the CS Ratio is, difference in profit / difference in sales * 100</t>
  </si>
  <si>
    <t>Difference of sales</t>
  </si>
  <si>
    <t>7,500,000-5,000,000</t>
  </si>
  <si>
    <t>Difference of profit</t>
  </si>
  <si>
    <t>1,000,000-500,000</t>
  </si>
  <si>
    <t>7.5Mn *80%</t>
  </si>
  <si>
    <t>BEP Sales value =</t>
  </si>
  <si>
    <t>500,000/20%</t>
  </si>
  <si>
    <t>Sales to TP =</t>
  </si>
  <si>
    <t>(TP + FC) / CS Ratio</t>
  </si>
  <si>
    <t>(1,500,000 + 500,000)/20%</t>
  </si>
  <si>
    <t>VC @ 80%</t>
  </si>
  <si>
    <t>Step 3 - Prepare a table</t>
  </si>
  <si>
    <t>Sales Mix</t>
  </si>
  <si>
    <t>Cum. Contributin</t>
  </si>
  <si>
    <t>Fixed Cost</t>
  </si>
  <si>
    <t>Cum. Profit / (loss)</t>
  </si>
  <si>
    <t>Profit / loss</t>
  </si>
  <si>
    <t>Maximum advertising cost</t>
  </si>
  <si>
    <t>Mathematical approach to calculate BEP</t>
  </si>
  <si>
    <t>45*1</t>
  </si>
  <si>
    <t>60*2</t>
  </si>
  <si>
    <t>40*3</t>
  </si>
  <si>
    <t>100*1</t>
  </si>
  <si>
    <t>160*2</t>
  </si>
  <si>
    <t>240*3</t>
  </si>
  <si>
    <t>1,500,000 /25%</t>
  </si>
  <si>
    <t>BEP in sales =</t>
  </si>
  <si>
    <t>BEP in units =</t>
  </si>
  <si>
    <t>Sales qty</t>
  </si>
  <si>
    <t>Total sales</t>
  </si>
  <si>
    <t>* BEP Sales</t>
  </si>
  <si>
    <t>* 6,000,000</t>
  </si>
  <si>
    <t>Individual units to be BEP</t>
  </si>
  <si>
    <t>31,578.95/6*1</t>
  </si>
  <si>
    <t>31,578.95/6*2</t>
  </si>
  <si>
    <t>31,578.95/6*3</t>
  </si>
  <si>
    <t>Sales Value</t>
  </si>
  <si>
    <t>Margin of Safety</t>
  </si>
  <si>
    <t>36,000-31,578.95</t>
  </si>
  <si>
    <t>4,421.05/6*1</t>
  </si>
  <si>
    <t>4,421.05/6*2</t>
  </si>
  <si>
    <t>4,421.05/6*3</t>
  </si>
  <si>
    <t>Cum PV Ratio = WA Contribution oof all products / WA Sales of all products</t>
  </si>
  <si>
    <t>Cum PV Ratio = Cum. Contribution / Cum. Sales</t>
  </si>
  <si>
    <t>Exercise 13</t>
  </si>
  <si>
    <t>Cum. Contribtion</t>
  </si>
  <si>
    <t>Material A</t>
  </si>
  <si>
    <t>Material B</t>
  </si>
  <si>
    <t>60*10 + 56*11 + 28*13</t>
  </si>
  <si>
    <t>110*10 + 160*11 + 120*13</t>
  </si>
  <si>
    <t>BEP in Sales</t>
  </si>
  <si>
    <t>BEP in Qty</t>
  </si>
  <si>
    <t>* 1,790,379.75</t>
  </si>
  <si>
    <t>13,772.15/68*20</t>
  </si>
  <si>
    <t>13,772.15/68*22</t>
  </si>
  <si>
    <t>13,772.15/68*26</t>
  </si>
  <si>
    <t>Margin of safety =</t>
  </si>
  <si>
    <t>Cum. Sales units - BEP units</t>
  </si>
  <si>
    <t>68,000 - 13,772.15</t>
  </si>
  <si>
    <t>54,227.85/68*20</t>
  </si>
  <si>
    <t>54,227.85/68*22</t>
  </si>
  <si>
    <t>54,227.85/68*26</t>
  </si>
  <si>
    <t>Exercise 14</t>
  </si>
  <si>
    <t>S-1 Identify the limiting factor</t>
  </si>
  <si>
    <t>Product</t>
  </si>
  <si>
    <t>Demand</t>
  </si>
  <si>
    <t xml:space="preserve">L. Hrs </t>
  </si>
  <si>
    <t>Total Hrs</t>
  </si>
  <si>
    <t>X</t>
  </si>
  <si>
    <t>Y</t>
  </si>
  <si>
    <t>Total hrs required</t>
  </si>
  <si>
    <t>Available hrs</t>
  </si>
  <si>
    <t>Shortage</t>
  </si>
  <si>
    <t>S-2 Calculate the contribution</t>
  </si>
  <si>
    <t>Selling Price</t>
  </si>
  <si>
    <t>(-) Variable Cost</t>
  </si>
  <si>
    <t>S-3 Limiting factors per unit</t>
  </si>
  <si>
    <t>S-4 Contribution per labour hour</t>
  </si>
  <si>
    <t>S-5 Ranking</t>
  </si>
  <si>
    <t>S-6 Production plan</t>
  </si>
  <si>
    <t>Production</t>
  </si>
  <si>
    <t>L. Hrs per unit</t>
  </si>
  <si>
    <t>B) Calculation of profit</t>
  </si>
  <si>
    <t>3,000*30</t>
  </si>
  <si>
    <t>4,000*30</t>
  </si>
  <si>
    <t>c) Maximum rate for labour</t>
  </si>
  <si>
    <t>Why need additonal labour? To produce product Y</t>
  </si>
  <si>
    <t>45/3</t>
  </si>
  <si>
    <t>Rs.15</t>
  </si>
  <si>
    <t>Contribution per hour of Y</t>
  </si>
  <si>
    <t>Exisitng rate per hour</t>
  </si>
  <si>
    <t>Maximum rate per hour</t>
  </si>
  <si>
    <t>Shadow price</t>
  </si>
  <si>
    <t>Exercise 15</t>
  </si>
  <si>
    <t>Total Material</t>
  </si>
  <si>
    <t>Total material required</t>
  </si>
  <si>
    <t>Available material</t>
  </si>
  <si>
    <t>Overhead</t>
  </si>
  <si>
    <t>Material per unit</t>
  </si>
  <si>
    <t>Contribution per material unit</t>
  </si>
  <si>
    <t>Production plan</t>
  </si>
  <si>
    <t>Minimum requirement</t>
  </si>
  <si>
    <t>B) Monthly profit</t>
  </si>
  <si>
    <t>250*140</t>
  </si>
  <si>
    <t>450*330</t>
  </si>
  <si>
    <t>150*-50</t>
  </si>
  <si>
    <t>c) Maximum price for additonal material</t>
  </si>
  <si>
    <t>Why do u want additonal material? Product A</t>
  </si>
  <si>
    <t>Contribution per unit</t>
  </si>
  <si>
    <t>Present rate</t>
  </si>
  <si>
    <t>Exerercise 16</t>
  </si>
  <si>
    <t>Step 1 - Define the decision variables</t>
  </si>
  <si>
    <t>X Axis</t>
  </si>
  <si>
    <t>Y Axis</t>
  </si>
  <si>
    <t>Reflects no. of X units to be produced</t>
  </si>
  <si>
    <t>Reflects no. of Y units to be produced</t>
  </si>
  <si>
    <t>Step 2 - Establish objective function</t>
  </si>
  <si>
    <t>Max Z</t>
  </si>
  <si>
    <t>120/60*6</t>
  </si>
  <si>
    <t>120/60*9</t>
  </si>
  <si>
    <t>Machine</t>
  </si>
  <si>
    <t>150/60*5</t>
  </si>
  <si>
    <t>150/60*4</t>
  </si>
  <si>
    <t>5*50%</t>
  </si>
  <si>
    <t>2*50%</t>
  </si>
  <si>
    <t>=10 X + 14Y</t>
  </si>
  <si>
    <t>Step 3 - Identify constrains</t>
  </si>
  <si>
    <t xml:space="preserve">L1 - Labour </t>
  </si>
  <si>
    <t>6X + 9Y  &lt;=</t>
  </si>
  <si>
    <t>45*60</t>
  </si>
  <si>
    <t xml:space="preserve">L2 - Machine </t>
  </si>
  <si>
    <t>5X + 4Y &lt;=</t>
  </si>
  <si>
    <t>26*60</t>
  </si>
  <si>
    <t>Non negative</t>
  </si>
  <si>
    <t>X, Y &gt;=</t>
  </si>
  <si>
    <t>Step 4 - Draw the graph</t>
  </si>
  <si>
    <t>6X + 9Y  =</t>
  </si>
  <si>
    <t>5X + 4Y =</t>
  </si>
  <si>
    <t>X=0 Y=300</t>
  </si>
  <si>
    <t>Y=0 X=450</t>
  </si>
  <si>
    <t>X=0 Y=390</t>
  </si>
  <si>
    <t>Y=0 X=312</t>
  </si>
  <si>
    <t>L1</t>
  </si>
  <si>
    <t>L2</t>
  </si>
  <si>
    <t>Step 5 - Identify feasible region</t>
  </si>
  <si>
    <t>Step 6 - Decide the optimum production plan</t>
  </si>
  <si>
    <t>a) Corner point evaluation method</t>
  </si>
  <si>
    <t>X=0 Y =300</t>
  </si>
  <si>
    <t>X=150 Y=200</t>
  </si>
  <si>
    <t>X=312 Y=0</t>
  </si>
  <si>
    <t>10 X + 14Y</t>
  </si>
  <si>
    <t>10*0 + 14*300</t>
  </si>
  <si>
    <t>10*150 + 14*200</t>
  </si>
  <si>
    <t>10*312 + 14*0</t>
  </si>
  <si>
    <t>Solution</t>
  </si>
  <si>
    <t>Optimum production plan</t>
  </si>
  <si>
    <t>X - 150</t>
  </si>
  <si>
    <t>Y - 200</t>
  </si>
  <si>
    <t>b) ISO profit line method</t>
  </si>
  <si>
    <t>Draw the objective function the the graph</t>
  </si>
  <si>
    <t>10X+14Y = 2800</t>
  </si>
  <si>
    <t>X=0 Y=200</t>
  </si>
  <si>
    <t>Y=0 X=280</t>
  </si>
  <si>
    <t>Extream point is B</t>
  </si>
  <si>
    <t>Additional Learnings</t>
  </si>
  <si>
    <t>01. How to get the exact reading at point B</t>
  </si>
  <si>
    <t>Idenity the lines intersect at point B</t>
  </si>
  <si>
    <t>Resolve them using simultanoius equation</t>
  </si>
  <si>
    <t>1*5</t>
  </si>
  <si>
    <t>30X + 45Y =</t>
  </si>
  <si>
    <t>2*6</t>
  </si>
  <si>
    <t>30X +24Y =</t>
  </si>
  <si>
    <t>3-4</t>
  </si>
  <si>
    <t>21Y =</t>
  </si>
  <si>
    <t>Y=</t>
  </si>
  <si>
    <t>Substitute get X</t>
  </si>
  <si>
    <t>6X + 9*197.14 =</t>
  </si>
  <si>
    <t>6X =</t>
  </si>
  <si>
    <t>X=</t>
  </si>
  <si>
    <t>Calculate the accurate contribution</t>
  </si>
  <si>
    <t>*10</t>
  </si>
  <si>
    <t>*14</t>
  </si>
  <si>
    <t>02. Calculate the shadow price</t>
  </si>
  <si>
    <t>Original</t>
  </si>
  <si>
    <t>Revised</t>
  </si>
  <si>
    <t>Take labour function and increase the total resouces by 1 unit</t>
  </si>
  <si>
    <t>Shadow price of labour</t>
  </si>
  <si>
    <t>*5</t>
  </si>
  <si>
    <t>*6</t>
  </si>
  <si>
    <t>30X+ 45Y =</t>
  </si>
  <si>
    <t>30X + 24Y =</t>
  </si>
  <si>
    <t>Y =</t>
  </si>
  <si>
    <t>Calculate X</t>
  </si>
  <si>
    <t>6X + 9*197.38 =</t>
  </si>
  <si>
    <t>Revised contri.</t>
  </si>
  <si>
    <t>197.38*14 + 154.10*10</t>
  </si>
  <si>
    <t>Original Contri.</t>
  </si>
  <si>
    <t>per labour minute</t>
  </si>
  <si>
    <t>Increase in contribution  / Shadow Price</t>
  </si>
  <si>
    <t>Shadow price of machine</t>
  </si>
  <si>
    <t>1.43*60</t>
  </si>
  <si>
    <t>Take machine function and increase the total resouces by 1 unit</t>
  </si>
  <si>
    <t>6X + 9*196.86 =</t>
  </si>
  <si>
    <t>196.86*14 + 154.71*10</t>
  </si>
  <si>
    <t>per machine minute</t>
  </si>
  <si>
    <t>.29*60</t>
  </si>
  <si>
    <t>Exersize 17</t>
  </si>
  <si>
    <t>Reflects no. of Klunk units to be produced</t>
  </si>
  <si>
    <t>Reflects no. of Klick units to be produced</t>
  </si>
  <si>
    <t>=3X + 4Y</t>
  </si>
  <si>
    <t>L1 - Machine</t>
  </si>
  <si>
    <t>4X + 2Y  &lt;=</t>
  </si>
  <si>
    <t>L2 - Labour</t>
  </si>
  <si>
    <t>4X + 6Y &lt;=</t>
  </si>
  <si>
    <t>L3 - Material</t>
  </si>
  <si>
    <t>X + Y &lt;=</t>
  </si>
  <si>
    <t>L4 - Demand</t>
  </si>
  <si>
    <t>L5 - Demand</t>
  </si>
  <si>
    <t>X &lt;=</t>
  </si>
  <si>
    <t>Y &gt;=</t>
  </si>
  <si>
    <t>Non negative cons.</t>
  </si>
  <si>
    <t>X , Y  &gt;=</t>
  </si>
  <si>
    <t>0</t>
  </si>
  <si>
    <t>4X + 2Y  =</t>
  </si>
  <si>
    <t>4X + 6Y =</t>
  </si>
  <si>
    <t>X + Y =</t>
  </si>
  <si>
    <t>X =</t>
  </si>
  <si>
    <t>X=0 Y=50</t>
  </si>
  <si>
    <t>Y=0 X=25</t>
  </si>
  <si>
    <t>Y=0 X=45</t>
  </si>
  <si>
    <t>Y=0 X=40</t>
  </si>
  <si>
    <t>X=20 Y=0</t>
  </si>
  <si>
    <t>Y=10 X=0</t>
  </si>
  <si>
    <t>X= 0 Y=40</t>
  </si>
  <si>
    <t>X= 0 Y=30</t>
  </si>
  <si>
    <t>L3</t>
  </si>
  <si>
    <t>L4</t>
  </si>
  <si>
    <t>Step 5 - Identify the feasible region</t>
  </si>
  <si>
    <t>Corner point evaluation method</t>
  </si>
  <si>
    <t>X=0 Y=10</t>
  </si>
  <si>
    <t>X=15 Y=20</t>
  </si>
  <si>
    <t>X=0 Y=30</t>
  </si>
  <si>
    <t>X=20 Y=10</t>
  </si>
  <si>
    <t>3*0 + 4*10</t>
  </si>
  <si>
    <t>3*0 + 4*30</t>
  </si>
  <si>
    <t>3*15 + 4*20</t>
  </si>
  <si>
    <t>3*20 + 4*10</t>
  </si>
  <si>
    <t>Klunk</t>
  </si>
  <si>
    <t>Klick</t>
  </si>
  <si>
    <t>Calculation of Shadow Prices</t>
  </si>
  <si>
    <t>What are the lines intersected at point R</t>
  </si>
  <si>
    <t>Shadow Price of machine hour</t>
  </si>
  <si>
    <t>2-1</t>
  </si>
  <si>
    <t>4Y =</t>
  </si>
  <si>
    <t>4X + 2*19.75 =</t>
  </si>
  <si>
    <t>4X =</t>
  </si>
  <si>
    <t>19.75*4+ 15.38*3</t>
  </si>
  <si>
    <t>per Machine Hour</t>
  </si>
  <si>
    <t>Shadow Price of labour hour</t>
  </si>
  <si>
    <t>4X + 2*20.25 =</t>
  </si>
  <si>
    <t>20.25*4+ 14.88*3</t>
  </si>
  <si>
    <t>per Labour Hour</t>
  </si>
  <si>
    <t>Material Slack / Unused Material</t>
  </si>
  <si>
    <t>Toatl material</t>
  </si>
  <si>
    <t>15*1</t>
  </si>
  <si>
    <t>20*1</t>
  </si>
  <si>
    <t>(-) Material consumption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</si>
</sst>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000_);_(* \(#,##0.00000\);_(* &quot;-&quot;??_);_(@_)"/>
    <numFmt numFmtId="166" formatCode="_(* #,##0.0000_);_(* \(#,##0.00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rgb="FFFF000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6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43" fontId="0" fillId="0" borderId="0" xfId="1" applyFont="1"/>
    <xf numFmtId="43" fontId="0" fillId="0" borderId="0" xfId="1" applyFont="1" applyAlignment="1">
      <alignment horizontal="left"/>
    </xf>
    <xf numFmtId="0" fontId="0" fillId="0" borderId="0" xfId="0" quotePrefix="1"/>
    <xf numFmtId="0" fontId="3" fillId="0" borderId="0" xfId="0" applyFont="1"/>
    <xf numFmtId="43" fontId="0" fillId="0" borderId="0" xfId="0" applyNumberFormat="1"/>
    <xf numFmtId="0" fontId="4" fillId="0" borderId="0" xfId="0" applyFont="1"/>
    <xf numFmtId="43" fontId="0" fillId="0" borderId="2" xfId="0" applyNumberFormat="1" applyBorder="1"/>
    <xf numFmtId="0" fontId="2" fillId="0" borderId="0" xfId="0" applyFont="1"/>
    <xf numFmtId="0" fontId="0" fillId="0" borderId="0" xfId="0" applyAlignment="1">
      <alignment horizontal="right"/>
    </xf>
    <xf numFmtId="0" fontId="5" fillId="0" borderId="0" xfId="0" applyFont="1"/>
    <xf numFmtId="43" fontId="0" fillId="0" borderId="1" xfId="1" applyFont="1" applyBorder="1"/>
    <xf numFmtId="9" fontId="0" fillId="0" borderId="0" xfId="2" applyFont="1"/>
    <xf numFmtId="10" fontId="0" fillId="0" borderId="0" xfId="2" applyNumberFormat="1" applyFont="1"/>
    <xf numFmtId="43" fontId="0" fillId="0" borderId="2" xfId="1" applyFont="1" applyBorder="1"/>
    <xf numFmtId="43" fontId="6" fillId="0" borderId="0" xfId="1" applyFont="1"/>
    <xf numFmtId="43" fontId="2" fillId="0" borderId="0" xfId="1" applyFont="1"/>
    <xf numFmtId="43" fontId="0" fillId="2" borderId="0" xfId="1" applyFont="1" applyFill="1"/>
    <xf numFmtId="43" fontId="7" fillId="0" borderId="0" xfId="1" applyFont="1"/>
    <xf numFmtId="10" fontId="0" fillId="0" borderId="0" xfId="0" applyNumberFormat="1"/>
    <xf numFmtId="43" fontId="0" fillId="0" borderId="0" xfId="1" applyFont="1" applyBorder="1"/>
    <xf numFmtId="0" fontId="8" fillId="0" borderId="0" xfId="0" applyFont="1"/>
    <xf numFmtId="0" fontId="5" fillId="0" borderId="0" xfId="0" applyFont="1" applyAlignment="1">
      <alignment horizontal="right"/>
    </xf>
    <xf numFmtId="3" fontId="0" fillId="0" borderId="0" xfId="0" applyNumberFormat="1"/>
    <xf numFmtId="0" fontId="0" fillId="0" borderId="1" xfId="0" applyBorder="1"/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164" fontId="0" fillId="0" borderId="0" xfId="1" applyNumberFormat="1" applyFont="1"/>
    <xf numFmtId="0" fontId="3" fillId="0" borderId="0" xfId="0" applyFont="1" applyAlignment="1">
      <alignment horizontal="right"/>
    </xf>
    <xf numFmtId="43" fontId="0" fillId="0" borderId="3" xfId="1" applyFont="1" applyBorder="1"/>
    <xf numFmtId="10" fontId="0" fillId="0" borderId="3" xfId="2" applyNumberFormat="1" applyFont="1" applyBorder="1"/>
    <xf numFmtId="43" fontId="3" fillId="0" borderId="2" xfId="0" applyNumberFormat="1" applyFont="1" applyBorder="1"/>
    <xf numFmtId="0" fontId="9" fillId="0" borderId="0" xfId="0" applyFont="1"/>
    <xf numFmtId="164" fontId="0" fillId="0" borderId="0" xfId="0" applyNumberFormat="1"/>
    <xf numFmtId="0" fontId="9" fillId="0" borderId="2" xfId="0" applyFont="1" applyBorder="1"/>
    <xf numFmtId="165" fontId="0" fillId="0" borderId="0" xfId="1" applyNumberFormat="1" applyFont="1"/>
    <xf numFmtId="43" fontId="3" fillId="0" borderId="2" xfId="1" applyFont="1" applyBorder="1"/>
    <xf numFmtId="43" fontId="0" fillId="0" borderId="3" xfId="1" applyFont="1" applyBorder="1" applyAlignment="1">
      <alignment horizontal="right"/>
    </xf>
    <xf numFmtId="43" fontId="0" fillId="0" borderId="3" xfId="0" applyNumberFormat="1" applyBorder="1"/>
    <xf numFmtId="43" fontId="3" fillId="0" borderId="3" xfId="0" applyNumberFormat="1" applyFont="1" applyBorder="1"/>
    <xf numFmtId="0" fontId="3" fillId="4" borderId="0" xfId="0" applyFont="1" applyFill="1"/>
    <xf numFmtId="43" fontId="0" fillId="4" borderId="0" xfId="1" applyFont="1" applyFill="1"/>
    <xf numFmtId="164" fontId="0" fillId="4" borderId="0" xfId="0" applyNumberFormat="1" applyFill="1"/>
    <xf numFmtId="43" fontId="0" fillId="4" borderId="0" xfId="0" applyNumberFormat="1" applyFill="1"/>
    <xf numFmtId="43" fontId="4" fillId="0" borderId="0" xfId="1" applyFont="1"/>
    <xf numFmtId="3" fontId="4" fillId="0" borderId="0" xfId="0" applyNumberFormat="1" applyFont="1"/>
    <xf numFmtId="43" fontId="2" fillId="0" borderId="0" xfId="0" applyNumberFormat="1" applyFont="1"/>
    <xf numFmtId="0" fontId="0" fillId="0" borderId="0" xfId="0" applyFont="1"/>
    <xf numFmtId="43" fontId="2" fillId="0" borderId="2" xfId="0" applyNumberFormat="1" applyFont="1" applyBorder="1"/>
    <xf numFmtId="43" fontId="0" fillId="0" borderId="1" xfId="0" applyNumberFormat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left" indent="3"/>
    </xf>
    <xf numFmtId="0" fontId="3" fillId="0" borderId="0" xfId="0" applyFont="1" applyAlignment="1">
      <alignment horizontal="left"/>
    </xf>
    <xf numFmtId="43" fontId="3" fillId="0" borderId="0" xfId="1" applyFont="1"/>
    <xf numFmtId="0" fontId="0" fillId="0" borderId="0" xfId="0" applyAlignment="1"/>
    <xf numFmtId="0" fontId="0" fillId="0" borderId="0" xfId="0" applyAlignment="1">
      <alignment horizontal="center"/>
    </xf>
    <xf numFmtId="43" fontId="9" fillId="0" borderId="2" xfId="0" applyNumberFormat="1" applyFont="1" applyBorder="1"/>
    <xf numFmtId="0" fontId="11" fillId="0" borderId="0" xfId="0" applyFont="1" applyAlignment="1">
      <alignment horizontal="center"/>
    </xf>
    <xf numFmtId="43" fontId="9" fillId="0" borderId="0" xfId="1" applyFont="1"/>
    <xf numFmtId="43" fontId="2" fillId="2" borderId="0" xfId="1" applyFont="1" applyFill="1"/>
    <xf numFmtId="0" fontId="0" fillId="0" borderId="0" xfId="0" applyAlignment="1">
      <alignment horizontal="left" indent="7"/>
    </xf>
    <xf numFmtId="16" fontId="0" fillId="0" borderId="0" xfId="0" applyNumberFormat="1"/>
    <xf numFmtId="16" fontId="0" fillId="0" borderId="0" xfId="0" quotePrefix="1" applyNumberFormat="1"/>
    <xf numFmtId="0" fontId="13" fillId="0" borderId="0" xfId="0" applyFont="1"/>
    <xf numFmtId="0" fontId="2" fillId="0" borderId="0" xfId="0" applyFont="1" applyAlignment="1">
      <alignment horizontal="right"/>
    </xf>
    <xf numFmtId="0" fontId="11" fillId="0" borderId="0" xfId="0" applyFont="1"/>
    <xf numFmtId="0" fontId="14" fillId="0" borderId="0" xfId="0" applyFont="1" applyAlignment="1">
      <alignment horizontal="right"/>
    </xf>
    <xf numFmtId="43" fontId="14" fillId="0" borderId="0" xfId="1" applyFont="1"/>
    <xf numFmtId="0" fontId="14" fillId="0" borderId="0" xfId="0" applyFont="1"/>
    <xf numFmtId="43" fontId="0" fillId="0" borderId="0" xfId="1" quotePrefix="1" applyFont="1" applyAlignment="1">
      <alignment horizontal="center"/>
    </xf>
    <xf numFmtId="0" fontId="0" fillId="2" borderId="0" xfId="0" applyFill="1" applyAlignment="1">
      <alignment horizontal="center"/>
    </xf>
    <xf numFmtId="0" fontId="15" fillId="0" borderId="0" xfId="0" applyFont="1" applyAlignment="1">
      <alignment horizontal="left"/>
    </xf>
    <xf numFmtId="166" fontId="0" fillId="0" borderId="0" xfId="0" applyNumberFormat="1"/>
    <xf numFmtId="166" fontId="9" fillId="0" borderId="2" xfId="0" applyNumberFormat="1" applyFont="1" applyBorder="1"/>
    <xf numFmtId="0" fontId="3" fillId="3" borderId="0" xfId="0" applyFont="1" applyFill="1" applyAlignment="1">
      <alignment horizontal="center" vertical="center" wrapText="1"/>
    </xf>
    <xf numFmtId="0" fontId="12" fillId="5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33</xdr:row>
      <xdr:rowOff>76200</xdr:rowOff>
    </xdr:from>
    <xdr:to>
      <xdr:col>5</xdr:col>
      <xdr:colOff>828675</xdr:colOff>
      <xdr:row>38</xdr:row>
      <xdr:rowOff>57150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4848225" y="6362700"/>
          <a:ext cx="1752600" cy="9334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15</xdr:col>
      <xdr:colOff>57146</xdr:colOff>
      <xdr:row>19</xdr:row>
      <xdr:rowOff>95250</xdr:rowOff>
    </xdr:to>
    <xdr:sp macro="" textlink="">
      <xdr:nvSpPr>
        <xdr:cNvPr id="4" name="Rectangle 3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4</xdr:row>
      <xdr:rowOff>133350</xdr:rowOff>
    </xdr:from>
    <xdr:to>
      <xdr:col>7</xdr:col>
      <xdr:colOff>19050</xdr:colOff>
      <xdr:row>23</xdr:row>
      <xdr:rowOff>47625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5963AF90-4BD5-4B80-A15A-6F8FEFFA8EB5}"/>
            </a:ext>
          </a:extLst>
        </xdr:cNvPr>
        <xdr:cNvCxnSpPr/>
      </xdr:nvCxnSpPr>
      <xdr:spPr>
        <a:xfrm flipH="1" flipV="1">
          <a:off x="6210300" y="895350"/>
          <a:ext cx="9525" cy="35337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28575</xdr:colOff>
      <xdr:row>11</xdr:row>
      <xdr:rowOff>171450</xdr:rowOff>
    </xdr:from>
    <xdr:to>
      <xdr:col>17</xdr:col>
      <xdr:colOff>171450</xdr:colOff>
      <xdr:row>11</xdr:row>
      <xdr:rowOff>180975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D13840DA-82DA-44BE-9E40-3C13A1CB1A61}"/>
            </a:ext>
          </a:extLst>
        </xdr:cNvPr>
        <xdr:cNvCxnSpPr/>
      </xdr:nvCxnSpPr>
      <xdr:spPr>
        <a:xfrm>
          <a:off x="5781675" y="2266950"/>
          <a:ext cx="6238875" cy="95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714375</xdr:colOff>
      <xdr:row>21</xdr:row>
      <xdr:rowOff>76200</xdr:rowOff>
    </xdr:from>
    <xdr:to>
      <xdr:col>7</xdr:col>
      <xdr:colOff>57150</xdr:colOff>
      <xdr:row>22</xdr:row>
      <xdr:rowOff>19050</xdr:rowOff>
    </xdr:to>
    <xdr:sp macro="" textlink="">
      <xdr:nvSpPr>
        <xdr:cNvPr id="11" name="Star: 5 Points 10">
          <a:extLst>
            <a:ext uri="{FF2B5EF4-FFF2-40B4-BE49-F238E27FC236}">
              <a16:creationId xmlns:a16="http://schemas.microsoft.com/office/drawing/2014/main" xmlns="" id="{97D649CA-CFAB-49E7-B497-1D98C74EF9C9}"/>
            </a:ext>
          </a:extLst>
        </xdr:cNvPr>
        <xdr:cNvSpPr/>
      </xdr:nvSpPr>
      <xdr:spPr>
        <a:xfrm>
          <a:off x="5724525" y="4076700"/>
          <a:ext cx="857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523875</xdr:colOff>
      <xdr:row>12</xdr:row>
      <xdr:rowOff>95250</xdr:rowOff>
    </xdr:from>
    <xdr:to>
      <xdr:col>11</xdr:col>
      <xdr:colOff>85725</xdr:colOff>
      <xdr:row>13</xdr:row>
      <xdr:rowOff>38100</xdr:rowOff>
    </xdr:to>
    <xdr:sp macro="" textlink="">
      <xdr:nvSpPr>
        <xdr:cNvPr id="12" name="Star: 5 Points 11">
          <a:extLst>
            <a:ext uri="{FF2B5EF4-FFF2-40B4-BE49-F238E27FC236}">
              <a16:creationId xmlns:a16="http://schemas.microsoft.com/office/drawing/2014/main" xmlns="" id="{B00B9B43-7686-43D4-BF65-AF6834DFDC90}"/>
            </a:ext>
          </a:extLst>
        </xdr:cNvPr>
        <xdr:cNvSpPr/>
      </xdr:nvSpPr>
      <xdr:spPr>
        <a:xfrm>
          <a:off x="8096250" y="2381250"/>
          <a:ext cx="1619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257175</xdr:colOff>
      <xdr:row>17</xdr:row>
      <xdr:rowOff>123825</xdr:rowOff>
    </xdr:from>
    <xdr:to>
      <xdr:col>8</xdr:col>
      <xdr:colOff>419100</xdr:colOff>
      <xdr:row>18</xdr:row>
      <xdr:rowOff>66675</xdr:rowOff>
    </xdr:to>
    <xdr:sp macro="" textlink="">
      <xdr:nvSpPr>
        <xdr:cNvPr id="13" name="Star: 5 Points 12">
          <a:extLst>
            <a:ext uri="{FF2B5EF4-FFF2-40B4-BE49-F238E27FC236}">
              <a16:creationId xmlns:a16="http://schemas.microsoft.com/office/drawing/2014/main" xmlns="" id="{4506B84E-CC91-409E-B87F-97F0A44A99CD}"/>
            </a:ext>
          </a:extLst>
        </xdr:cNvPr>
        <xdr:cNvSpPr/>
      </xdr:nvSpPr>
      <xdr:spPr>
        <a:xfrm>
          <a:off x="6619875" y="3362325"/>
          <a:ext cx="1619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533400</xdr:colOff>
      <xdr:row>6</xdr:row>
      <xdr:rowOff>104775</xdr:rowOff>
    </xdr:from>
    <xdr:to>
      <xdr:col>17</xdr:col>
      <xdr:colOff>85725</xdr:colOff>
      <xdr:row>7</xdr:row>
      <xdr:rowOff>47625</xdr:rowOff>
    </xdr:to>
    <xdr:sp macro="" textlink="">
      <xdr:nvSpPr>
        <xdr:cNvPr id="14" name="Star: 5 Points 13">
          <a:extLst>
            <a:ext uri="{FF2B5EF4-FFF2-40B4-BE49-F238E27FC236}">
              <a16:creationId xmlns:a16="http://schemas.microsoft.com/office/drawing/2014/main" xmlns="" id="{D10AEE36-0765-4BC2-80CD-D0113F024DE8}"/>
            </a:ext>
          </a:extLst>
        </xdr:cNvPr>
        <xdr:cNvSpPr/>
      </xdr:nvSpPr>
      <xdr:spPr>
        <a:xfrm>
          <a:off x="11811000" y="1247775"/>
          <a:ext cx="1619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730747</xdr:colOff>
      <xdr:row>17</xdr:row>
      <xdr:rowOff>174760</xdr:rowOff>
    </xdr:from>
    <xdr:to>
      <xdr:col>8</xdr:col>
      <xdr:colOff>419100</xdr:colOff>
      <xdr:row>22</xdr:row>
      <xdr:rowOff>19050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C44A14F7-B8A2-4BEE-B55F-0C598D594682}"/>
            </a:ext>
          </a:extLst>
        </xdr:cNvPr>
        <xdr:cNvCxnSpPr>
          <a:stCxn id="11" idx="2"/>
          <a:endCxn id="13" idx="4"/>
        </xdr:cNvCxnSpPr>
      </xdr:nvCxnSpPr>
      <xdr:spPr>
        <a:xfrm flipV="1">
          <a:off x="5740897" y="3413260"/>
          <a:ext cx="1040903" cy="79679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288100</xdr:colOff>
      <xdr:row>13</xdr:row>
      <xdr:rowOff>38100</xdr:rowOff>
    </xdr:from>
    <xdr:to>
      <xdr:col>10</xdr:col>
      <xdr:colOff>554800</xdr:colOff>
      <xdr:row>18</xdr:row>
      <xdr:rowOff>66675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61521074-6D45-4798-9A28-3AB28DBE473A}"/>
            </a:ext>
          </a:extLst>
        </xdr:cNvPr>
        <xdr:cNvCxnSpPr>
          <a:stCxn id="13" idx="2"/>
          <a:endCxn id="12" idx="2"/>
        </xdr:cNvCxnSpPr>
      </xdr:nvCxnSpPr>
      <xdr:spPr>
        <a:xfrm flipV="1">
          <a:off x="6650800" y="2514600"/>
          <a:ext cx="1476375" cy="9810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</xdr:row>
      <xdr:rowOff>155710</xdr:rowOff>
    </xdr:from>
    <xdr:to>
      <xdr:col>17</xdr:col>
      <xdr:colOff>85725</xdr:colOff>
      <xdr:row>12</xdr:row>
      <xdr:rowOff>165235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9A904376-48ED-4EDA-B78A-CCDE38636C87}"/>
            </a:ext>
          </a:extLst>
        </xdr:cNvPr>
        <xdr:cNvCxnSpPr>
          <a:endCxn id="14" idx="4"/>
        </xdr:cNvCxnSpPr>
      </xdr:nvCxnSpPr>
      <xdr:spPr>
        <a:xfrm flipV="1">
          <a:off x="8172450" y="1298710"/>
          <a:ext cx="3714750" cy="1152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409575</xdr:colOff>
      <xdr:row>8</xdr:row>
      <xdr:rowOff>0</xdr:rowOff>
    </xdr:from>
    <xdr:to>
      <xdr:col>13</xdr:col>
      <xdr:colOff>209550</xdr:colOff>
      <xdr:row>9</xdr:row>
      <xdr:rowOff>180975</xdr:rowOff>
    </xdr:to>
    <xdr:cxnSp macro="">
      <xdr:nvCxnSpPr>
        <xdr:cNvPr id="23" name="Straight Arrow Connector 22">
          <a:extLst>
            <a:ext uri="{FF2B5EF4-FFF2-40B4-BE49-F238E27FC236}">
              <a16:creationId xmlns:a16="http://schemas.microsoft.com/office/drawing/2014/main" xmlns="" id="{5CD49311-85CC-44D2-9EBB-8152D4209D59}"/>
            </a:ext>
          </a:extLst>
        </xdr:cNvPr>
        <xdr:cNvCxnSpPr/>
      </xdr:nvCxnSpPr>
      <xdr:spPr>
        <a:xfrm>
          <a:off x="9191625" y="1524000"/>
          <a:ext cx="400050" cy="3714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495300</xdr:colOff>
      <xdr:row>5</xdr:row>
      <xdr:rowOff>123825</xdr:rowOff>
    </xdr:from>
    <xdr:to>
      <xdr:col>17</xdr:col>
      <xdr:colOff>514350</xdr:colOff>
      <xdr:row>22</xdr:row>
      <xdr:rowOff>95250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xmlns="" id="{1D9CFB4C-17D0-4EF6-8D7D-4E376A398CD9}"/>
            </a:ext>
          </a:extLst>
        </xdr:cNvPr>
        <xdr:cNvCxnSpPr/>
      </xdr:nvCxnSpPr>
      <xdr:spPr>
        <a:xfrm flipV="1">
          <a:off x="5505450" y="1076325"/>
          <a:ext cx="6810375" cy="3209925"/>
        </a:xfrm>
        <a:prstGeom prst="lin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16</xdr:row>
      <xdr:rowOff>133350</xdr:rowOff>
    </xdr:from>
    <xdr:to>
      <xdr:col>11</xdr:col>
      <xdr:colOff>9525</xdr:colOff>
      <xdr:row>18</xdr:row>
      <xdr:rowOff>104775</xdr:rowOff>
    </xdr:to>
    <xdr:cxnSp macro="">
      <xdr:nvCxnSpPr>
        <xdr:cNvPr id="27" name="Straight Arrow Connector 26">
          <a:extLst>
            <a:ext uri="{FF2B5EF4-FFF2-40B4-BE49-F238E27FC236}">
              <a16:creationId xmlns:a16="http://schemas.microsoft.com/office/drawing/2014/main" xmlns="" id="{5FA33125-155B-475E-BFD4-0DCC865C79BB}"/>
            </a:ext>
          </a:extLst>
        </xdr:cNvPr>
        <xdr:cNvCxnSpPr/>
      </xdr:nvCxnSpPr>
      <xdr:spPr>
        <a:xfrm flipH="1" flipV="1">
          <a:off x="7953375" y="3181350"/>
          <a:ext cx="228600" cy="352425"/>
        </a:xfrm>
        <a:prstGeom prst="straightConnector1">
          <a:avLst/>
        </a:prstGeom>
        <a:ln>
          <a:tailEnd type="triangle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361950</xdr:colOff>
      <xdr:row>11</xdr:row>
      <xdr:rowOff>133350</xdr:rowOff>
    </xdr:from>
    <xdr:to>
      <xdr:col>13</xdr:col>
      <xdr:colOff>428625</xdr:colOff>
      <xdr:row>12</xdr:row>
      <xdr:rowOff>28575</xdr:rowOff>
    </xdr:to>
    <xdr:sp macro="" textlink="">
      <xdr:nvSpPr>
        <xdr:cNvPr id="29" name="Oval 28">
          <a:extLst>
            <a:ext uri="{FF2B5EF4-FFF2-40B4-BE49-F238E27FC236}">
              <a16:creationId xmlns:a16="http://schemas.microsoft.com/office/drawing/2014/main" xmlns="" id="{7B400B3E-9178-492D-8876-5EDCE502D1B2}"/>
            </a:ext>
          </a:extLst>
        </xdr:cNvPr>
        <xdr:cNvSpPr/>
      </xdr:nvSpPr>
      <xdr:spPr>
        <a:xfrm>
          <a:off x="9744075" y="2228850"/>
          <a:ext cx="66675" cy="857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400048</xdr:colOff>
      <xdr:row>12</xdr:row>
      <xdr:rowOff>47624</xdr:rowOff>
    </xdr:from>
    <xdr:to>
      <xdr:col>16</xdr:col>
      <xdr:colOff>581024</xdr:colOff>
      <xdr:row>13</xdr:row>
      <xdr:rowOff>123825</xdr:rowOff>
    </xdr:to>
    <xdr:sp macro="" textlink="">
      <xdr:nvSpPr>
        <xdr:cNvPr id="30" name="Right Brace 29">
          <a:extLst>
            <a:ext uri="{FF2B5EF4-FFF2-40B4-BE49-F238E27FC236}">
              <a16:creationId xmlns:a16="http://schemas.microsoft.com/office/drawing/2014/main" xmlns="" id="{3DFA666F-7C75-48ED-B9B6-259A1CC2932C}"/>
            </a:ext>
          </a:extLst>
        </xdr:cNvPr>
        <xdr:cNvSpPr/>
      </xdr:nvSpPr>
      <xdr:spPr>
        <a:xfrm rot="5400000">
          <a:off x="10648948" y="1466849"/>
          <a:ext cx="266701" cy="2000251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371471</xdr:colOff>
      <xdr:row>19</xdr:row>
      <xdr:rowOff>95250</xdr:rowOff>
    </xdr:to>
    <xdr:sp macro="" textlink="">
      <xdr:nvSpPr>
        <xdr:cNvPr id="18" name="Rectangle 17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5</xdr:row>
      <xdr:rowOff>38100</xdr:rowOff>
    </xdr:from>
    <xdr:to>
      <xdr:col>8</xdr:col>
      <xdr:colOff>9525</xdr:colOff>
      <xdr:row>25</xdr:row>
      <xdr:rowOff>85725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2E251976-53AC-4B2B-A2C5-0BD197DC5E7C}"/>
            </a:ext>
          </a:extLst>
        </xdr:cNvPr>
        <xdr:cNvCxnSpPr/>
      </xdr:nvCxnSpPr>
      <xdr:spPr>
        <a:xfrm flipH="1" flipV="1">
          <a:off x="6991350" y="1019175"/>
          <a:ext cx="9525" cy="38576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742950</xdr:colOff>
      <xdr:row>9</xdr:row>
      <xdr:rowOff>180975</xdr:rowOff>
    </xdr:from>
    <xdr:to>
      <xdr:col>16</xdr:col>
      <xdr:colOff>161925</xdr:colOff>
      <xdr:row>10</xdr:row>
      <xdr:rowOff>9525</xdr:rowOff>
    </xdr:to>
    <xdr:cxnSp macro="">
      <xdr:nvCxnSpPr>
        <xdr:cNvPr id="5" name="Straight Arrow Connector 4">
          <a:extLst>
            <a:ext uri="{FF2B5EF4-FFF2-40B4-BE49-F238E27FC236}">
              <a16:creationId xmlns:a16="http://schemas.microsoft.com/office/drawing/2014/main" xmlns="" id="{79D0E68D-31AE-4459-BF0A-F0A72355BC9E}"/>
            </a:ext>
          </a:extLst>
        </xdr:cNvPr>
        <xdr:cNvCxnSpPr/>
      </xdr:nvCxnSpPr>
      <xdr:spPr>
        <a:xfrm>
          <a:off x="6981825" y="1924050"/>
          <a:ext cx="5324475" cy="190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695325</xdr:colOff>
      <xdr:row>24</xdr:row>
      <xdr:rowOff>85725</xdr:rowOff>
    </xdr:from>
    <xdr:to>
      <xdr:col>8</xdr:col>
      <xdr:colOff>104775</xdr:colOff>
      <xdr:row>25</xdr:row>
      <xdr:rowOff>28575</xdr:rowOff>
    </xdr:to>
    <xdr:sp macro="" textlink="">
      <xdr:nvSpPr>
        <xdr:cNvPr id="6" name="Star: 5 Points 5">
          <a:extLst>
            <a:ext uri="{FF2B5EF4-FFF2-40B4-BE49-F238E27FC236}">
              <a16:creationId xmlns:a16="http://schemas.microsoft.com/office/drawing/2014/main" xmlns="" id="{9DA09FF1-5333-4FE2-BC77-404610CFD60E}"/>
            </a:ext>
          </a:extLst>
        </xdr:cNvPr>
        <xdr:cNvSpPr/>
      </xdr:nvSpPr>
      <xdr:spPr>
        <a:xfrm>
          <a:off x="6934200" y="4686300"/>
          <a:ext cx="1619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276225</xdr:colOff>
      <xdr:row>22</xdr:row>
      <xdr:rowOff>19050</xdr:rowOff>
    </xdr:from>
    <xdr:to>
      <xdr:col>8</xdr:col>
      <xdr:colOff>438150</xdr:colOff>
      <xdr:row>22</xdr:row>
      <xdr:rowOff>152400</xdr:rowOff>
    </xdr:to>
    <xdr:sp macro="" textlink="">
      <xdr:nvSpPr>
        <xdr:cNvPr id="12" name="Star: 5 Points 11">
          <a:extLst>
            <a:ext uri="{FF2B5EF4-FFF2-40B4-BE49-F238E27FC236}">
              <a16:creationId xmlns:a16="http://schemas.microsoft.com/office/drawing/2014/main" xmlns="" id="{51B433E9-A495-4E55-89E8-C234EE97286C}"/>
            </a:ext>
          </a:extLst>
        </xdr:cNvPr>
        <xdr:cNvSpPr/>
      </xdr:nvSpPr>
      <xdr:spPr>
        <a:xfrm>
          <a:off x="7267575" y="4238625"/>
          <a:ext cx="1619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219075</xdr:colOff>
      <xdr:row>14</xdr:row>
      <xdr:rowOff>180975</xdr:rowOff>
    </xdr:from>
    <xdr:to>
      <xdr:col>10</xdr:col>
      <xdr:colOff>381000</xdr:colOff>
      <xdr:row>15</xdr:row>
      <xdr:rowOff>123825</xdr:rowOff>
    </xdr:to>
    <xdr:sp macro="" textlink="">
      <xdr:nvSpPr>
        <xdr:cNvPr id="13" name="Star: 5 Points 12">
          <a:extLst>
            <a:ext uri="{FF2B5EF4-FFF2-40B4-BE49-F238E27FC236}">
              <a16:creationId xmlns:a16="http://schemas.microsoft.com/office/drawing/2014/main" xmlns="" id="{C1F7A4E4-9D94-462C-8FCE-B70E8486A8EF}"/>
            </a:ext>
          </a:extLst>
        </xdr:cNvPr>
        <xdr:cNvSpPr/>
      </xdr:nvSpPr>
      <xdr:spPr>
        <a:xfrm>
          <a:off x="8705850" y="2876550"/>
          <a:ext cx="1619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333375</xdr:colOff>
      <xdr:row>6</xdr:row>
      <xdr:rowOff>57150</xdr:rowOff>
    </xdr:from>
    <xdr:to>
      <xdr:col>14</xdr:col>
      <xdr:colOff>495300</xdr:colOff>
      <xdr:row>7</xdr:row>
      <xdr:rowOff>0</xdr:rowOff>
    </xdr:to>
    <xdr:sp macro="" textlink="">
      <xdr:nvSpPr>
        <xdr:cNvPr id="15" name="Star: 5 Points 14">
          <a:extLst>
            <a:ext uri="{FF2B5EF4-FFF2-40B4-BE49-F238E27FC236}">
              <a16:creationId xmlns:a16="http://schemas.microsoft.com/office/drawing/2014/main" xmlns="" id="{FE67ADA5-047A-49E3-ACCF-6BA13743493C}"/>
            </a:ext>
          </a:extLst>
        </xdr:cNvPr>
        <xdr:cNvSpPr/>
      </xdr:nvSpPr>
      <xdr:spPr>
        <a:xfrm>
          <a:off x="11258550" y="1228725"/>
          <a:ext cx="1619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742950</xdr:colOff>
      <xdr:row>22</xdr:row>
      <xdr:rowOff>152400</xdr:rowOff>
    </xdr:from>
    <xdr:to>
      <xdr:col>8</xdr:col>
      <xdr:colOff>307150</xdr:colOff>
      <xdr:row>24</xdr:row>
      <xdr:rowOff>184285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xmlns="" id="{4725C4B4-E7BE-49A5-9F7D-4C450F6A6CBA}"/>
            </a:ext>
          </a:extLst>
        </xdr:cNvPr>
        <xdr:cNvCxnSpPr>
          <a:endCxn id="12" idx="2"/>
        </xdr:cNvCxnSpPr>
      </xdr:nvCxnSpPr>
      <xdr:spPr>
        <a:xfrm flipV="1">
          <a:off x="6981825" y="4371975"/>
          <a:ext cx="316675" cy="4128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15</xdr:row>
      <xdr:rowOff>123825</xdr:rowOff>
    </xdr:from>
    <xdr:to>
      <xdr:col>10</xdr:col>
      <xdr:colOff>250000</xdr:colOff>
      <xdr:row>22</xdr:row>
      <xdr:rowOff>108085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59F30022-6850-4DBC-AFEC-88DF38013C53}"/>
            </a:ext>
          </a:extLst>
        </xdr:cNvPr>
        <xdr:cNvCxnSpPr>
          <a:endCxn id="13" idx="2"/>
        </xdr:cNvCxnSpPr>
      </xdr:nvCxnSpPr>
      <xdr:spPr>
        <a:xfrm flipV="1">
          <a:off x="7334250" y="3009900"/>
          <a:ext cx="1402525" cy="13177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381000</xdr:colOff>
      <xdr:row>6</xdr:row>
      <xdr:rowOff>133350</xdr:rowOff>
    </xdr:from>
    <xdr:to>
      <xdr:col>14</xdr:col>
      <xdr:colOff>402400</xdr:colOff>
      <xdr:row>15</xdr:row>
      <xdr:rowOff>41410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xmlns="" id="{F1B51192-705C-4115-9F38-98C1C02DAA1D}"/>
            </a:ext>
          </a:extLst>
        </xdr:cNvPr>
        <xdr:cNvCxnSpPr>
          <a:stCxn id="13" idx="4"/>
        </xdr:cNvCxnSpPr>
      </xdr:nvCxnSpPr>
      <xdr:spPr>
        <a:xfrm flipV="1">
          <a:off x="8867775" y="1304925"/>
          <a:ext cx="2459800" cy="162256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7</xdr:row>
      <xdr:rowOff>38100</xdr:rowOff>
    </xdr:from>
    <xdr:to>
      <xdr:col>13</xdr:col>
      <xdr:colOff>228600</xdr:colOff>
      <xdr:row>8</xdr:row>
      <xdr:rowOff>152400</xdr:rowOff>
    </xdr:to>
    <xdr:cxnSp macro="">
      <xdr:nvCxnSpPr>
        <xdr:cNvPr id="21" name="Straight Arrow Connector 20">
          <a:extLst>
            <a:ext uri="{FF2B5EF4-FFF2-40B4-BE49-F238E27FC236}">
              <a16:creationId xmlns:a16="http://schemas.microsoft.com/office/drawing/2014/main" xmlns="" id="{177A7D8B-D52B-4BDA-B92B-D294F9F756BA}"/>
            </a:ext>
          </a:extLst>
        </xdr:cNvPr>
        <xdr:cNvCxnSpPr/>
      </xdr:nvCxnSpPr>
      <xdr:spPr>
        <a:xfrm>
          <a:off x="9810750" y="1400175"/>
          <a:ext cx="733425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609600</xdr:colOff>
      <xdr:row>6</xdr:row>
      <xdr:rowOff>9525</xdr:rowOff>
    </xdr:from>
    <xdr:to>
      <xdr:col>14</xdr:col>
      <xdr:colOff>561975</xdr:colOff>
      <xdr:row>25</xdr:row>
      <xdr:rowOff>76200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CDC427C6-1148-4EB3-A09D-9D8CBF82129F}"/>
            </a:ext>
          </a:extLst>
        </xdr:cNvPr>
        <xdr:cNvCxnSpPr/>
      </xdr:nvCxnSpPr>
      <xdr:spPr>
        <a:xfrm flipH="1">
          <a:off x="6848475" y="1181100"/>
          <a:ext cx="4638675" cy="36861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542925</xdr:colOff>
      <xdr:row>14</xdr:row>
      <xdr:rowOff>142875</xdr:rowOff>
    </xdr:from>
    <xdr:to>
      <xdr:col>12</xdr:col>
      <xdr:colOff>523875</xdr:colOff>
      <xdr:row>16</xdr:row>
      <xdr:rowOff>47625</xdr:rowOff>
    </xdr:to>
    <xdr:cxnSp macro="">
      <xdr:nvCxnSpPr>
        <xdr:cNvPr id="24" name="Straight Arrow Connector 23">
          <a:extLst>
            <a:ext uri="{FF2B5EF4-FFF2-40B4-BE49-F238E27FC236}">
              <a16:creationId xmlns:a16="http://schemas.microsoft.com/office/drawing/2014/main" xmlns="" id="{9BBE2791-25C7-4471-9B5B-991C1121D0AE}"/>
            </a:ext>
          </a:extLst>
        </xdr:cNvPr>
        <xdr:cNvCxnSpPr/>
      </xdr:nvCxnSpPr>
      <xdr:spPr>
        <a:xfrm flipH="1" flipV="1">
          <a:off x="9639300" y="2838450"/>
          <a:ext cx="590550" cy="2857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238125</xdr:colOff>
      <xdr:row>9</xdr:row>
      <xdr:rowOff>152400</xdr:rowOff>
    </xdr:from>
    <xdr:to>
      <xdr:col>13</xdr:col>
      <xdr:colOff>304800</xdr:colOff>
      <xdr:row>10</xdr:row>
      <xdr:rowOff>47625</xdr:rowOff>
    </xdr:to>
    <xdr:sp macro="" textlink="">
      <xdr:nvSpPr>
        <xdr:cNvPr id="26" name="Oval 25">
          <a:extLst>
            <a:ext uri="{FF2B5EF4-FFF2-40B4-BE49-F238E27FC236}">
              <a16:creationId xmlns:a16="http://schemas.microsoft.com/office/drawing/2014/main" xmlns="" id="{30C94653-148A-4DF1-B63E-1B7071B43512}"/>
            </a:ext>
          </a:extLst>
        </xdr:cNvPr>
        <xdr:cNvSpPr/>
      </xdr:nvSpPr>
      <xdr:spPr>
        <a:xfrm>
          <a:off x="10553700" y="1895475"/>
          <a:ext cx="66675" cy="85725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285750</xdr:colOff>
      <xdr:row>10</xdr:row>
      <xdr:rowOff>66675</xdr:rowOff>
    </xdr:from>
    <xdr:to>
      <xdr:col>14</xdr:col>
      <xdr:colOff>495300</xdr:colOff>
      <xdr:row>11</xdr:row>
      <xdr:rowOff>133350</xdr:rowOff>
    </xdr:to>
    <xdr:sp macro="" textlink="">
      <xdr:nvSpPr>
        <xdr:cNvPr id="29" name="Right Brace 28">
          <a:extLst>
            <a:ext uri="{FF2B5EF4-FFF2-40B4-BE49-F238E27FC236}">
              <a16:creationId xmlns:a16="http://schemas.microsoft.com/office/drawing/2014/main" xmlns="" id="{D53AB8DD-48DA-4B96-8D2D-F1F2568CD38A}"/>
            </a:ext>
          </a:extLst>
        </xdr:cNvPr>
        <xdr:cNvSpPr/>
      </xdr:nvSpPr>
      <xdr:spPr>
        <a:xfrm rot="5400000">
          <a:off x="10882312" y="1719263"/>
          <a:ext cx="257175" cy="819150"/>
        </a:xfrm>
        <a:prstGeom prst="rightBrace">
          <a:avLst/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57146</xdr:colOff>
      <xdr:row>19</xdr:row>
      <xdr:rowOff>66675</xdr:rowOff>
    </xdr:to>
    <xdr:sp macro="" textlink="">
      <xdr:nvSpPr>
        <xdr:cNvPr id="16" name="Rectangle 15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533396</xdr:colOff>
      <xdr:row>19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66671</xdr:colOff>
      <xdr:row>19</xdr:row>
      <xdr:rowOff>47625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29</xdr:row>
      <xdr:rowOff>57150</xdr:rowOff>
    </xdr:from>
    <xdr:to>
      <xdr:col>2</xdr:col>
      <xdr:colOff>542925</xdr:colOff>
      <xdr:row>29</xdr:row>
      <xdr:rowOff>57150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A3C3D30C-071D-41BA-8A54-ECE2D8018A04}"/>
            </a:ext>
          </a:extLst>
        </xdr:cNvPr>
        <xdr:cNvCxnSpPr/>
      </xdr:nvCxnSpPr>
      <xdr:spPr>
        <a:xfrm flipH="1">
          <a:off x="2686050" y="5600700"/>
          <a:ext cx="55245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590546</xdr:colOff>
      <xdr:row>19</xdr:row>
      <xdr:rowOff>76200</xdr:rowOff>
    </xdr:to>
    <xdr:sp macro="" textlink="">
      <xdr:nvSpPr>
        <xdr:cNvPr id="4" name="Rectangle 3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428621</xdr:colOff>
      <xdr:row>19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19</xdr:row>
      <xdr:rowOff>0</xdr:rowOff>
    </xdr:from>
    <xdr:to>
      <xdr:col>14</xdr:col>
      <xdr:colOff>38100</xdr:colOff>
      <xdr:row>29</xdr:row>
      <xdr:rowOff>152399</xdr:rowOff>
    </xdr:to>
    <xdr:sp macro="" textlink="">
      <xdr:nvSpPr>
        <xdr:cNvPr id="15" name="Freeform: Shape 14">
          <a:extLst>
            <a:ext uri="{FF2B5EF4-FFF2-40B4-BE49-F238E27FC236}">
              <a16:creationId xmlns:a16="http://schemas.microsoft.com/office/drawing/2014/main" xmlns="" id="{89083A80-A274-281E-4B7A-4D7679CFF47A}"/>
            </a:ext>
          </a:extLst>
        </xdr:cNvPr>
        <xdr:cNvSpPr/>
      </xdr:nvSpPr>
      <xdr:spPr>
        <a:xfrm>
          <a:off x="6172200" y="3619500"/>
          <a:ext cx="3609975" cy="2057399"/>
        </a:xfrm>
        <a:custGeom>
          <a:avLst/>
          <a:gdLst>
            <a:gd name="connsiteX0" fmla="*/ 38100 w 3783875"/>
            <a:gd name="connsiteY0" fmla="*/ 2183176 h 2221276"/>
            <a:gd name="connsiteX1" fmla="*/ 19050 w 3783875"/>
            <a:gd name="connsiteY1" fmla="*/ 2097451 h 2221276"/>
            <a:gd name="connsiteX2" fmla="*/ 28575 w 3783875"/>
            <a:gd name="connsiteY2" fmla="*/ 1649776 h 2221276"/>
            <a:gd name="connsiteX3" fmla="*/ 19050 w 3783875"/>
            <a:gd name="connsiteY3" fmla="*/ 1506901 h 2221276"/>
            <a:gd name="connsiteX4" fmla="*/ 9525 w 3783875"/>
            <a:gd name="connsiteY4" fmla="*/ 1459276 h 2221276"/>
            <a:gd name="connsiteX5" fmla="*/ 0 w 3783875"/>
            <a:gd name="connsiteY5" fmla="*/ 1011601 h 2221276"/>
            <a:gd name="connsiteX6" fmla="*/ 28575 w 3783875"/>
            <a:gd name="connsiteY6" fmla="*/ 1951 h 2221276"/>
            <a:gd name="connsiteX7" fmla="*/ 38100 w 3783875"/>
            <a:gd name="connsiteY7" fmla="*/ 30526 h 2221276"/>
            <a:gd name="connsiteX8" fmla="*/ 66675 w 3783875"/>
            <a:gd name="connsiteY8" fmla="*/ 40051 h 2221276"/>
            <a:gd name="connsiteX9" fmla="*/ 209550 w 3783875"/>
            <a:gd name="connsiteY9" fmla="*/ 59101 h 2221276"/>
            <a:gd name="connsiteX10" fmla="*/ 314325 w 3783875"/>
            <a:gd name="connsiteY10" fmla="*/ 97201 h 2221276"/>
            <a:gd name="connsiteX11" fmla="*/ 371475 w 3783875"/>
            <a:gd name="connsiteY11" fmla="*/ 116251 h 2221276"/>
            <a:gd name="connsiteX12" fmla="*/ 438150 w 3783875"/>
            <a:gd name="connsiteY12" fmla="*/ 154351 h 2221276"/>
            <a:gd name="connsiteX13" fmla="*/ 495300 w 3783875"/>
            <a:gd name="connsiteY13" fmla="*/ 173401 h 2221276"/>
            <a:gd name="connsiteX14" fmla="*/ 523875 w 3783875"/>
            <a:gd name="connsiteY14" fmla="*/ 182926 h 2221276"/>
            <a:gd name="connsiteX15" fmla="*/ 552450 w 3783875"/>
            <a:gd name="connsiteY15" fmla="*/ 192451 h 2221276"/>
            <a:gd name="connsiteX16" fmla="*/ 628650 w 3783875"/>
            <a:gd name="connsiteY16" fmla="*/ 230551 h 2221276"/>
            <a:gd name="connsiteX17" fmla="*/ 657225 w 3783875"/>
            <a:gd name="connsiteY17" fmla="*/ 249601 h 2221276"/>
            <a:gd name="connsiteX18" fmla="*/ 704850 w 3783875"/>
            <a:gd name="connsiteY18" fmla="*/ 268651 h 2221276"/>
            <a:gd name="connsiteX19" fmla="*/ 733425 w 3783875"/>
            <a:gd name="connsiteY19" fmla="*/ 287701 h 2221276"/>
            <a:gd name="connsiteX20" fmla="*/ 809625 w 3783875"/>
            <a:gd name="connsiteY20" fmla="*/ 306751 h 2221276"/>
            <a:gd name="connsiteX21" fmla="*/ 838200 w 3783875"/>
            <a:gd name="connsiteY21" fmla="*/ 316276 h 2221276"/>
            <a:gd name="connsiteX22" fmla="*/ 866775 w 3783875"/>
            <a:gd name="connsiteY22" fmla="*/ 335326 h 2221276"/>
            <a:gd name="connsiteX23" fmla="*/ 904875 w 3783875"/>
            <a:gd name="connsiteY23" fmla="*/ 344851 h 2221276"/>
            <a:gd name="connsiteX24" fmla="*/ 971550 w 3783875"/>
            <a:gd name="connsiteY24" fmla="*/ 373426 h 2221276"/>
            <a:gd name="connsiteX25" fmla="*/ 1000125 w 3783875"/>
            <a:gd name="connsiteY25" fmla="*/ 392476 h 2221276"/>
            <a:gd name="connsiteX26" fmla="*/ 1038225 w 3783875"/>
            <a:gd name="connsiteY26" fmla="*/ 411526 h 2221276"/>
            <a:gd name="connsiteX27" fmla="*/ 1066800 w 3783875"/>
            <a:gd name="connsiteY27" fmla="*/ 421051 h 2221276"/>
            <a:gd name="connsiteX28" fmla="*/ 1123950 w 3783875"/>
            <a:gd name="connsiteY28" fmla="*/ 459151 h 2221276"/>
            <a:gd name="connsiteX29" fmla="*/ 1152525 w 3783875"/>
            <a:gd name="connsiteY29" fmla="*/ 487726 h 2221276"/>
            <a:gd name="connsiteX30" fmla="*/ 1228725 w 3783875"/>
            <a:gd name="connsiteY30" fmla="*/ 497251 h 2221276"/>
            <a:gd name="connsiteX31" fmla="*/ 1257300 w 3783875"/>
            <a:gd name="connsiteY31" fmla="*/ 506776 h 2221276"/>
            <a:gd name="connsiteX32" fmla="*/ 1285875 w 3783875"/>
            <a:gd name="connsiteY32" fmla="*/ 535351 h 2221276"/>
            <a:gd name="connsiteX33" fmla="*/ 1343025 w 3783875"/>
            <a:gd name="connsiteY33" fmla="*/ 544876 h 2221276"/>
            <a:gd name="connsiteX34" fmla="*/ 1419225 w 3783875"/>
            <a:gd name="connsiteY34" fmla="*/ 563926 h 2221276"/>
            <a:gd name="connsiteX35" fmla="*/ 1466850 w 3783875"/>
            <a:gd name="connsiteY35" fmla="*/ 573451 h 2221276"/>
            <a:gd name="connsiteX36" fmla="*/ 1504950 w 3783875"/>
            <a:gd name="connsiteY36" fmla="*/ 592501 h 2221276"/>
            <a:gd name="connsiteX37" fmla="*/ 1562100 w 3783875"/>
            <a:gd name="connsiteY37" fmla="*/ 611551 h 2221276"/>
            <a:gd name="connsiteX38" fmla="*/ 1619250 w 3783875"/>
            <a:gd name="connsiteY38" fmla="*/ 640126 h 2221276"/>
            <a:gd name="connsiteX39" fmla="*/ 1666875 w 3783875"/>
            <a:gd name="connsiteY39" fmla="*/ 668701 h 2221276"/>
            <a:gd name="connsiteX40" fmla="*/ 1714500 w 3783875"/>
            <a:gd name="connsiteY40" fmla="*/ 678226 h 2221276"/>
            <a:gd name="connsiteX41" fmla="*/ 1743075 w 3783875"/>
            <a:gd name="connsiteY41" fmla="*/ 687751 h 2221276"/>
            <a:gd name="connsiteX42" fmla="*/ 1781175 w 3783875"/>
            <a:gd name="connsiteY42" fmla="*/ 697276 h 2221276"/>
            <a:gd name="connsiteX43" fmla="*/ 1809750 w 3783875"/>
            <a:gd name="connsiteY43" fmla="*/ 716326 h 2221276"/>
            <a:gd name="connsiteX44" fmla="*/ 1847850 w 3783875"/>
            <a:gd name="connsiteY44" fmla="*/ 744901 h 2221276"/>
            <a:gd name="connsiteX45" fmla="*/ 1857375 w 3783875"/>
            <a:gd name="connsiteY45" fmla="*/ 678226 h 2221276"/>
            <a:gd name="connsiteX46" fmla="*/ 1847850 w 3783875"/>
            <a:gd name="connsiteY46" fmla="*/ 725851 h 2221276"/>
            <a:gd name="connsiteX47" fmla="*/ 1828800 w 3783875"/>
            <a:gd name="connsiteY47" fmla="*/ 783001 h 2221276"/>
            <a:gd name="connsiteX48" fmla="*/ 1857375 w 3783875"/>
            <a:gd name="connsiteY48" fmla="*/ 802051 h 2221276"/>
            <a:gd name="connsiteX49" fmla="*/ 1933575 w 3783875"/>
            <a:gd name="connsiteY49" fmla="*/ 821101 h 2221276"/>
            <a:gd name="connsiteX50" fmla="*/ 1952625 w 3783875"/>
            <a:gd name="connsiteY50" fmla="*/ 859201 h 2221276"/>
            <a:gd name="connsiteX51" fmla="*/ 2028825 w 3783875"/>
            <a:gd name="connsiteY51" fmla="*/ 878251 h 2221276"/>
            <a:gd name="connsiteX52" fmla="*/ 2047875 w 3783875"/>
            <a:gd name="connsiteY52" fmla="*/ 906826 h 2221276"/>
            <a:gd name="connsiteX53" fmla="*/ 2085975 w 3783875"/>
            <a:gd name="connsiteY53" fmla="*/ 925876 h 2221276"/>
            <a:gd name="connsiteX54" fmla="*/ 2124075 w 3783875"/>
            <a:gd name="connsiteY54" fmla="*/ 954451 h 2221276"/>
            <a:gd name="connsiteX55" fmla="*/ 2152650 w 3783875"/>
            <a:gd name="connsiteY55" fmla="*/ 983026 h 2221276"/>
            <a:gd name="connsiteX56" fmla="*/ 2219325 w 3783875"/>
            <a:gd name="connsiteY56" fmla="*/ 1021126 h 2221276"/>
            <a:gd name="connsiteX57" fmla="*/ 2266950 w 3783875"/>
            <a:gd name="connsiteY57" fmla="*/ 1059226 h 2221276"/>
            <a:gd name="connsiteX58" fmla="*/ 2305050 w 3783875"/>
            <a:gd name="connsiteY58" fmla="*/ 1097326 h 2221276"/>
            <a:gd name="connsiteX59" fmla="*/ 2352675 w 3783875"/>
            <a:gd name="connsiteY59" fmla="*/ 1116376 h 2221276"/>
            <a:gd name="connsiteX60" fmla="*/ 2381250 w 3783875"/>
            <a:gd name="connsiteY60" fmla="*/ 1135426 h 2221276"/>
            <a:gd name="connsiteX61" fmla="*/ 2400300 w 3783875"/>
            <a:gd name="connsiteY61" fmla="*/ 1164001 h 2221276"/>
            <a:gd name="connsiteX62" fmla="*/ 2428875 w 3783875"/>
            <a:gd name="connsiteY62" fmla="*/ 1183051 h 2221276"/>
            <a:gd name="connsiteX63" fmla="*/ 2476500 w 3783875"/>
            <a:gd name="connsiteY63" fmla="*/ 1221151 h 2221276"/>
            <a:gd name="connsiteX64" fmla="*/ 2514600 w 3783875"/>
            <a:gd name="connsiteY64" fmla="*/ 1259251 h 2221276"/>
            <a:gd name="connsiteX65" fmla="*/ 2543175 w 3783875"/>
            <a:gd name="connsiteY65" fmla="*/ 1287826 h 2221276"/>
            <a:gd name="connsiteX66" fmla="*/ 2600325 w 3783875"/>
            <a:gd name="connsiteY66" fmla="*/ 1306876 h 2221276"/>
            <a:gd name="connsiteX67" fmla="*/ 2619375 w 3783875"/>
            <a:gd name="connsiteY67" fmla="*/ 1249726 h 2221276"/>
            <a:gd name="connsiteX68" fmla="*/ 2600325 w 3783875"/>
            <a:gd name="connsiteY68" fmla="*/ 1287826 h 2221276"/>
            <a:gd name="connsiteX69" fmla="*/ 2657475 w 3783875"/>
            <a:gd name="connsiteY69" fmla="*/ 1354501 h 2221276"/>
            <a:gd name="connsiteX70" fmla="*/ 2667000 w 3783875"/>
            <a:gd name="connsiteY70" fmla="*/ 1392601 h 2221276"/>
            <a:gd name="connsiteX71" fmla="*/ 2752725 w 3783875"/>
            <a:gd name="connsiteY71" fmla="*/ 1468801 h 2221276"/>
            <a:gd name="connsiteX72" fmla="*/ 2781300 w 3783875"/>
            <a:gd name="connsiteY72" fmla="*/ 1478326 h 2221276"/>
            <a:gd name="connsiteX73" fmla="*/ 2847975 w 3783875"/>
            <a:gd name="connsiteY73" fmla="*/ 1506901 h 2221276"/>
            <a:gd name="connsiteX74" fmla="*/ 2905125 w 3783875"/>
            <a:gd name="connsiteY74" fmla="*/ 1564051 h 2221276"/>
            <a:gd name="connsiteX75" fmla="*/ 3000375 w 3783875"/>
            <a:gd name="connsiteY75" fmla="*/ 1640251 h 2221276"/>
            <a:gd name="connsiteX76" fmla="*/ 3076575 w 3783875"/>
            <a:gd name="connsiteY76" fmla="*/ 1525951 h 2221276"/>
            <a:gd name="connsiteX77" fmla="*/ 3048000 w 3783875"/>
            <a:gd name="connsiteY77" fmla="*/ 1564051 h 2221276"/>
            <a:gd name="connsiteX78" fmla="*/ 3019425 w 3783875"/>
            <a:gd name="connsiteY78" fmla="*/ 1621201 h 2221276"/>
            <a:gd name="connsiteX79" fmla="*/ 3067050 w 3783875"/>
            <a:gd name="connsiteY79" fmla="*/ 1687876 h 2221276"/>
            <a:gd name="connsiteX80" fmla="*/ 3095625 w 3783875"/>
            <a:gd name="connsiteY80" fmla="*/ 1725976 h 2221276"/>
            <a:gd name="connsiteX81" fmla="*/ 3114675 w 3783875"/>
            <a:gd name="connsiteY81" fmla="*/ 1754551 h 2221276"/>
            <a:gd name="connsiteX82" fmla="*/ 3143250 w 3783875"/>
            <a:gd name="connsiteY82" fmla="*/ 1773601 h 2221276"/>
            <a:gd name="connsiteX83" fmla="*/ 3209925 w 3783875"/>
            <a:gd name="connsiteY83" fmla="*/ 1840276 h 2221276"/>
            <a:gd name="connsiteX84" fmla="*/ 3228975 w 3783875"/>
            <a:gd name="connsiteY84" fmla="*/ 1868851 h 2221276"/>
            <a:gd name="connsiteX85" fmla="*/ 3276600 w 3783875"/>
            <a:gd name="connsiteY85" fmla="*/ 1887901 h 2221276"/>
            <a:gd name="connsiteX86" fmla="*/ 3333750 w 3783875"/>
            <a:gd name="connsiteY86" fmla="*/ 1926001 h 2221276"/>
            <a:gd name="connsiteX87" fmla="*/ 3400425 w 3783875"/>
            <a:gd name="connsiteY87" fmla="*/ 1954576 h 2221276"/>
            <a:gd name="connsiteX88" fmla="*/ 3457575 w 3783875"/>
            <a:gd name="connsiteY88" fmla="*/ 2002201 h 2221276"/>
            <a:gd name="connsiteX89" fmla="*/ 3543300 w 3783875"/>
            <a:gd name="connsiteY89" fmla="*/ 2040301 h 2221276"/>
            <a:gd name="connsiteX90" fmla="*/ 3581400 w 3783875"/>
            <a:gd name="connsiteY90" fmla="*/ 2068876 h 2221276"/>
            <a:gd name="connsiteX91" fmla="*/ 3648075 w 3783875"/>
            <a:gd name="connsiteY91" fmla="*/ 2097451 h 2221276"/>
            <a:gd name="connsiteX92" fmla="*/ 3705225 w 3783875"/>
            <a:gd name="connsiteY92" fmla="*/ 2145076 h 2221276"/>
            <a:gd name="connsiteX93" fmla="*/ 3733800 w 3783875"/>
            <a:gd name="connsiteY93" fmla="*/ 2154601 h 2221276"/>
            <a:gd name="connsiteX94" fmla="*/ 3752850 w 3783875"/>
            <a:gd name="connsiteY94" fmla="*/ 2183176 h 2221276"/>
            <a:gd name="connsiteX95" fmla="*/ 3781425 w 3783875"/>
            <a:gd name="connsiteY95" fmla="*/ 2202226 h 2221276"/>
            <a:gd name="connsiteX96" fmla="*/ 3743325 w 3783875"/>
            <a:gd name="connsiteY96" fmla="*/ 2183176 h 2221276"/>
            <a:gd name="connsiteX97" fmla="*/ 3714750 w 3783875"/>
            <a:gd name="connsiteY97" fmla="*/ 2173651 h 2221276"/>
            <a:gd name="connsiteX98" fmla="*/ 3590925 w 3783875"/>
            <a:gd name="connsiteY98" fmla="*/ 2202226 h 2221276"/>
            <a:gd name="connsiteX99" fmla="*/ 3533775 w 3783875"/>
            <a:gd name="connsiteY99" fmla="*/ 2221276 h 2221276"/>
            <a:gd name="connsiteX100" fmla="*/ 3009900 w 3783875"/>
            <a:gd name="connsiteY100" fmla="*/ 2211751 h 2221276"/>
            <a:gd name="connsiteX101" fmla="*/ 2847975 w 3783875"/>
            <a:gd name="connsiteY101" fmla="*/ 2192701 h 2221276"/>
            <a:gd name="connsiteX102" fmla="*/ 2181225 w 3783875"/>
            <a:gd name="connsiteY102" fmla="*/ 2202226 h 2221276"/>
            <a:gd name="connsiteX103" fmla="*/ 2038350 w 3783875"/>
            <a:gd name="connsiteY103" fmla="*/ 2192701 h 2221276"/>
            <a:gd name="connsiteX104" fmla="*/ 1714500 w 3783875"/>
            <a:gd name="connsiteY104" fmla="*/ 2183176 h 2221276"/>
            <a:gd name="connsiteX105" fmla="*/ 466725 w 3783875"/>
            <a:gd name="connsiteY105" fmla="*/ 2183176 h 2221276"/>
            <a:gd name="connsiteX106" fmla="*/ 38100 w 3783875"/>
            <a:gd name="connsiteY106" fmla="*/ 2183176 h 222127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  <a:cxn ang="0">
              <a:pos x="connsiteX48" y="connsiteY48"/>
            </a:cxn>
            <a:cxn ang="0">
              <a:pos x="connsiteX49" y="connsiteY49"/>
            </a:cxn>
            <a:cxn ang="0">
              <a:pos x="connsiteX50" y="connsiteY50"/>
            </a:cxn>
            <a:cxn ang="0">
              <a:pos x="connsiteX51" y="connsiteY51"/>
            </a:cxn>
            <a:cxn ang="0">
              <a:pos x="connsiteX52" y="connsiteY52"/>
            </a:cxn>
            <a:cxn ang="0">
              <a:pos x="connsiteX53" y="connsiteY53"/>
            </a:cxn>
            <a:cxn ang="0">
              <a:pos x="connsiteX54" y="connsiteY54"/>
            </a:cxn>
            <a:cxn ang="0">
              <a:pos x="connsiteX55" y="connsiteY55"/>
            </a:cxn>
            <a:cxn ang="0">
              <a:pos x="connsiteX56" y="connsiteY56"/>
            </a:cxn>
            <a:cxn ang="0">
              <a:pos x="connsiteX57" y="connsiteY57"/>
            </a:cxn>
            <a:cxn ang="0">
              <a:pos x="connsiteX58" y="connsiteY58"/>
            </a:cxn>
            <a:cxn ang="0">
              <a:pos x="connsiteX59" y="connsiteY59"/>
            </a:cxn>
            <a:cxn ang="0">
              <a:pos x="connsiteX60" y="connsiteY60"/>
            </a:cxn>
            <a:cxn ang="0">
              <a:pos x="connsiteX61" y="connsiteY61"/>
            </a:cxn>
            <a:cxn ang="0">
              <a:pos x="connsiteX62" y="connsiteY62"/>
            </a:cxn>
            <a:cxn ang="0">
              <a:pos x="connsiteX63" y="connsiteY63"/>
            </a:cxn>
            <a:cxn ang="0">
              <a:pos x="connsiteX64" y="connsiteY64"/>
            </a:cxn>
            <a:cxn ang="0">
              <a:pos x="connsiteX65" y="connsiteY65"/>
            </a:cxn>
            <a:cxn ang="0">
              <a:pos x="connsiteX66" y="connsiteY66"/>
            </a:cxn>
            <a:cxn ang="0">
              <a:pos x="connsiteX67" y="connsiteY67"/>
            </a:cxn>
            <a:cxn ang="0">
              <a:pos x="connsiteX68" y="connsiteY68"/>
            </a:cxn>
            <a:cxn ang="0">
              <a:pos x="connsiteX69" y="connsiteY69"/>
            </a:cxn>
            <a:cxn ang="0">
              <a:pos x="connsiteX70" y="connsiteY70"/>
            </a:cxn>
            <a:cxn ang="0">
              <a:pos x="connsiteX71" y="connsiteY71"/>
            </a:cxn>
            <a:cxn ang="0">
              <a:pos x="connsiteX72" y="connsiteY72"/>
            </a:cxn>
            <a:cxn ang="0">
              <a:pos x="connsiteX73" y="connsiteY73"/>
            </a:cxn>
            <a:cxn ang="0">
              <a:pos x="connsiteX74" y="connsiteY74"/>
            </a:cxn>
            <a:cxn ang="0">
              <a:pos x="connsiteX75" y="connsiteY75"/>
            </a:cxn>
            <a:cxn ang="0">
              <a:pos x="connsiteX76" y="connsiteY76"/>
            </a:cxn>
            <a:cxn ang="0">
              <a:pos x="connsiteX77" y="connsiteY77"/>
            </a:cxn>
            <a:cxn ang="0">
              <a:pos x="connsiteX78" y="connsiteY78"/>
            </a:cxn>
            <a:cxn ang="0">
              <a:pos x="connsiteX79" y="connsiteY79"/>
            </a:cxn>
            <a:cxn ang="0">
              <a:pos x="connsiteX80" y="connsiteY80"/>
            </a:cxn>
            <a:cxn ang="0">
              <a:pos x="connsiteX81" y="connsiteY81"/>
            </a:cxn>
            <a:cxn ang="0">
              <a:pos x="connsiteX82" y="connsiteY82"/>
            </a:cxn>
            <a:cxn ang="0">
              <a:pos x="connsiteX83" y="connsiteY83"/>
            </a:cxn>
            <a:cxn ang="0">
              <a:pos x="connsiteX84" y="connsiteY84"/>
            </a:cxn>
            <a:cxn ang="0">
              <a:pos x="connsiteX85" y="connsiteY85"/>
            </a:cxn>
            <a:cxn ang="0">
              <a:pos x="connsiteX86" y="connsiteY86"/>
            </a:cxn>
            <a:cxn ang="0">
              <a:pos x="connsiteX87" y="connsiteY87"/>
            </a:cxn>
            <a:cxn ang="0">
              <a:pos x="connsiteX88" y="connsiteY88"/>
            </a:cxn>
            <a:cxn ang="0">
              <a:pos x="connsiteX89" y="connsiteY89"/>
            </a:cxn>
            <a:cxn ang="0">
              <a:pos x="connsiteX90" y="connsiteY90"/>
            </a:cxn>
            <a:cxn ang="0">
              <a:pos x="connsiteX91" y="connsiteY91"/>
            </a:cxn>
            <a:cxn ang="0">
              <a:pos x="connsiteX92" y="connsiteY92"/>
            </a:cxn>
            <a:cxn ang="0">
              <a:pos x="connsiteX93" y="connsiteY93"/>
            </a:cxn>
            <a:cxn ang="0">
              <a:pos x="connsiteX94" y="connsiteY94"/>
            </a:cxn>
            <a:cxn ang="0">
              <a:pos x="connsiteX95" y="connsiteY95"/>
            </a:cxn>
            <a:cxn ang="0">
              <a:pos x="connsiteX96" y="connsiteY96"/>
            </a:cxn>
            <a:cxn ang="0">
              <a:pos x="connsiteX97" y="connsiteY97"/>
            </a:cxn>
            <a:cxn ang="0">
              <a:pos x="connsiteX98" y="connsiteY98"/>
            </a:cxn>
            <a:cxn ang="0">
              <a:pos x="connsiteX99" y="connsiteY99"/>
            </a:cxn>
            <a:cxn ang="0">
              <a:pos x="connsiteX100" y="connsiteY100"/>
            </a:cxn>
            <a:cxn ang="0">
              <a:pos x="connsiteX101" y="connsiteY101"/>
            </a:cxn>
            <a:cxn ang="0">
              <a:pos x="connsiteX102" y="connsiteY102"/>
            </a:cxn>
            <a:cxn ang="0">
              <a:pos x="connsiteX103" y="connsiteY103"/>
            </a:cxn>
            <a:cxn ang="0">
              <a:pos x="connsiteX104" y="connsiteY104"/>
            </a:cxn>
            <a:cxn ang="0">
              <a:pos x="connsiteX105" y="connsiteY105"/>
            </a:cxn>
            <a:cxn ang="0">
              <a:pos x="connsiteX106" y="connsiteY106"/>
            </a:cxn>
          </a:cxnLst>
          <a:rect l="l" t="t" r="r" b="b"/>
          <a:pathLst>
            <a:path w="3783875" h="2221276">
              <a:moveTo>
                <a:pt x="38100" y="2183176"/>
              </a:moveTo>
              <a:cubicBezTo>
                <a:pt x="31750" y="2154601"/>
                <a:pt x="23005" y="2126455"/>
                <a:pt x="19050" y="2097451"/>
              </a:cubicBezTo>
              <a:cubicBezTo>
                <a:pt x="-2918" y="1936350"/>
                <a:pt x="17934" y="1830681"/>
                <a:pt x="28575" y="1649776"/>
              </a:cubicBezTo>
              <a:cubicBezTo>
                <a:pt x="25400" y="1602151"/>
                <a:pt x="23799" y="1554395"/>
                <a:pt x="19050" y="1506901"/>
              </a:cubicBezTo>
              <a:cubicBezTo>
                <a:pt x="17439" y="1490792"/>
                <a:pt x="10147" y="1475453"/>
                <a:pt x="9525" y="1459276"/>
              </a:cubicBezTo>
              <a:cubicBezTo>
                <a:pt x="3789" y="1310128"/>
                <a:pt x="3175" y="1160826"/>
                <a:pt x="0" y="1011601"/>
              </a:cubicBezTo>
              <a:cubicBezTo>
                <a:pt x="6134" y="717169"/>
                <a:pt x="13010" y="287309"/>
                <a:pt x="28575" y="1951"/>
              </a:cubicBezTo>
              <a:cubicBezTo>
                <a:pt x="29122" y="-8074"/>
                <a:pt x="31000" y="23426"/>
                <a:pt x="38100" y="30526"/>
              </a:cubicBezTo>
              <a:cubicBezTo>
                <a:pt x="45200" y="37626"/>
                <a:pt x="56771" y="38400"/>
                <a:pt x="66675" y="40051"/>
              </a:cubicBezTo>
              <a:cubicBezTo>
                <a:pt x="114068" y="47950"/>
                <a:pt x="161925" y="52751"/>
                <a:pt x="209550" y="59101"/>
              </a:cubicBezTo>
              <a:cubicBezTo>
                <a:pt x="376316" y="114690"/>
                <a:pt x="168533" y="44186"/>
                <a:pt x="314325" y="97201"/>
              </a:cubicBezTo>
              <a:cubicBezTo>
                <a:pt x="333196" y="104063"/>
                <a:pt x="354767" y="105112"/>
                <a:pt x="371475" y="116251"/>
              </a:cubicBezTo>
              <a:cubicBezTo>
                <a:pt x="397250" y="133434"/>
                <a:pt x="407938" y="142266"/>
                <a:pt x="438150" y="154351"/>
              </a:cubicBezTo>
              <a:cubicBezTo>
                <a:pt x="456794" y="161809"/>
                <a:pt x="476250" y="167051"/>
                <a:pt x="495300" y="173401"/>
              </a:cubicBezTo>
              <a:lnTo>
                <a:pt x="523875" y="182926"/>
              </a:lnTo>
              <a:cubicBezTo>
                <a:pt x="533400" y="186101"/>
                <a:pt x="544096" y="186882"/>
                <a:pt x="552450" y="192451"/>
              </a:cubicBezTo>
              <a:cubicBezTo>
                <a:pt x="618653" y="236586"/>
                <a:pt x="535444" y="183948"/>
                <a:pt x="628650" y="230551"/>
              </a:cubicBezTo>
              <a:cubicBezTo>
                <a:pt x="638889" y="235671"/>
                <a:pt x="646986" y="244481"/>
                <a:pt x="657225" y="249601"/>
              </a:cubicBezTo>
              <a:cubicBezTo>
                <a:pt x="672518" y="257247"/>
                <a:pt x="689557" y="261005"/>
                <a:pt x="704850" y="268651"/>
              </a:cubicBezTo>
              <a:cubicBezTo>
                <a:pt x="715089" y="273771"/>
                <a:pt x="722667" y="283789"/>
                <a:pt x="733425" y="287701"/>
              </a:cubicBezTo>
              <a:cubicBezTo>
                <a:pt x="758030" y="296648"/>
                <a:pt x="784787" y="298472"/>
                <a:pt x="809625" y="306751"/>
              </a:cubicBezTo>
              <a:cubicBezTo>
                <a:pt x="819150" y="309926"/>
                <a:pt x="829220" y="311786"/>
                <a:pt x="838200" y="316276"/>
              </a:cubicBezTo>
              <a:cubicBezTo>
                <a:pt x="848439" y="321396"/>
                <a:pt x="856253" y="330817"/>
                <a:pt x="866775" y="335326"/>
              </a:cubicBezTo>
              <a:cubicBezTo>
                <a:pt x="878807" y="340483"/>
                <a:pt x="892175" y="341676"/>
                <a:pt x="904875" y="344851"/>
              </a:cubicBezTo>
              <a:cubicBezTo>
                <a:pt x="976614" y="392677"/>
                <a:pt x="885440" y="336522"/>
                <a:pt x="971550" y="373426"/>
              </a:cubicBezTo>
              <a:cubicBezTo>
                <a:pt x="982072" y="377935"/>
                <a:pt x="990186" y="386796"/>
                <a:pt x="1000125" y="392476"/>
              </a:cubicBezTo>
              <a:cubicBezTo>
                <a:pt x="1012453" y="399521"/>
                <a:pt x="1025174" y="405933"/>
                <a:pt x="1038225" y="411526"/>
              </a:cubicBezTo>
              <a:cubicBezTo>
                <a:pt x="1047453" y="415481"/>
                <a:pt x="1058023" y="416175"/>
                <a:pt x="1066800" y="421051"/>
              </a:cubicBezTo>
              <a:cubicBezTo>
                <a:pt x="1086814" y="432170"/>
                <a:pt x="1107761" y="442962"/>
                <a:pt x="1123950" y="459151"/>
              </a:cubicBezTo>
              <a:cubicBezTo>
                <a:pt x="1133475" y="468676"/>
                <a:pt x="1139866" y="483123"/>
                <a:pt x="1152525" y="487726"/>
              </a:cubicBezTo>
              <a:cubicBezTo>
                <a:pt x="1176582" y="496474"/>
                <a:pt x="1203325" y="494076"/>
                <a:pt x="1228725" y="497251"/>
              </a:cubicBezTo>
              <a:cubicBezTo>
                <a:pt x="1238250" y="500426"/>
                <a:pt x="1248946" y="501207"/>
                <a:pt x="1257300" y="506776"/>
              </a:cubicBezTo>
              <a:cubicBezTo>
                <a:pt x="1268508" y="514248"/>
                <a:pt x="1273566" y="529880"/>
                <a:pt x="1285875" y="535351"/>
              </a:cubicBezTo>
              <a:cubicBezTo>
                <a:pt x="1303523" y="543195"/>
                <a:pt x="1324024" y="541421"/>
                <a:pt x="1343025" y="544876"/>
              </a:cubicBezTo>
              <a:cubicBezTo>
                <a:pt x="1471753" y="568281"/>
                <a:pt x="1331099" y="541895"/>
                <a:pt x="1419225" y="563926"/>
              </a:cubicBezTo>
              <a:cubicBezTo>
                <a:pt x="1434931" y="567853"/>
                <a:pt x="1450975" y="570276"/>
                <a:pt x="1466850" y="573451"/>
              </a:cubicBezTo>
              <a:cubicBezTo>
                <a:pt x="1479550" y="579801"/>
                <a:pt x="1491767" y="587228"/>
                <a:pt x="1504950" y="592501"/>
              </a:cubicBezTo>
              <a:cubicBezTo>
                <a:pt x="1523594" y="599959"/>
                <a:pt x="1545392" y="600412"/>
                <a:pt x="1562100" y="611551"/>
              </a:cubicBezTo>
              <a:cubicBezTo>
                <a:pt x="1643992" y="666146"/>
                <a:pt x="1540380" y="600691"/>
                <a:pt x="1619250" y="640126"/>
              </a:cubicBezTo>
              <a:cubicBezTo>
                <a:pt x="1635809" y="648405"/>
                <a:pt x="1649686" y="661825"/>
                <a:pt x="1666875" y="668701"/>
              </a:cubicBezTo>
              <a:cubicBezTo>
                <a:pt x="1681906" y="674714"/>
                <a:pt x="1698794" y="674299"/>
                <a:pt x="1714500" y="678226"/>
              </a:cubicBezTo>
              <a:cubicBezTo>
                <a:pt x="1724240" y="680661"/>
                <a:pt x="1733421" y="684993"/>
                <a:pt x="1743075" y="687751"/>
              </a:cubicBezTo>
              <a:cubicBezTo>
                <a:pt x="1755662" y="691347"/>
                <a:pt x="1768475" y="694101"/>
                <a:pt x="1781175" y="697276"/>
              </a:cubicBezTo>
              <a:cubicBezTo>
                <a:pt x="1790700" y="703626"/>
                <a:pt x="1800435" y="709672"/>
                <a:pt x="1809750" y="716326"/>
              </a:cubicBezTo>
              <a:cubicBezTo>
                <a:pt x="1822668" y="725553"/>
                <a:pt x="1842276" y="759765"/>
                <a:pt x="1847850" y="744901"/>
              </a:cubicBezTo>
              <a:cubicBezTo>
                <a:pt x="1868699" y="689304"/>
                <a:pt x="1809823" y="583122"/>
                <a:pt x="1857375" y="678226"/>
              </a:cubicBezTo>
              <a:cubicBezTo>
                <a:pt x="1854200" y="694101"/>
                <a:pt x="1852110" y="710232"/>
                <a:pt x="1847850" y="725851"/>
              </a:cubicBezTo>
              <a:cubicBezTo>
                <a:pt x="1842566" y="745224"/>
                <a:pt x="1828800" y="783001"/>
                <a:pt x="1828800" y="783001"/>
              </a:cubicBezTo>
              <a:cubicBezTo>
                <a:pt x="1838325" y="789351"/>
                <a:pt x="1846617" y="798139"/>
                <a:pt x="1857375" y="802051"/>
              </a:cubicBezTo>
              <a:cubicBezTo>
                <a:pt x="1881980" y="810998"/>
                <a:pt x="1933575" y="821101"/>
                <a:pt x="1933575" y="821101"/>
              </a:cubicBezTo>
              <a:cubicBezTo>
                <a:pt x="1939925" y="833801"/>
                <a:pt x="1940449" y="851896"/>
                <a:pt x="1952625" y="859201"/>
              </a:cubicBezTo>
              <a:cubicBezTo>
                <a:pt x="1975076" y="872671"/>
                <a:pt x="2028825" y="878251"/>
                <a:pt x="2028825" y="878251"/>
              </a:cubicBezTo>
              <a:cubicBezTo>
                <a:pt x="2035175" y="887776"/>
                <a:pt x="2039081" y="899497"/>
                <a:pt x="2047875" y="906826"/>
              </a:cubicBezTo>
              <a:cubicBezTo>
                <a:pt x="2058783" y="915916"/>
                <a:pt x="2073934" y="918351"/>
                <a:pt x="2085975" y="925876"/>
              </a:cubicBezTo>
              <a:cubicBezTo>
                <a:pt x="2099437" y="934290"/>
                <a:pt x="2112022" y="944120"/>
                <a:pt x="2124075" y="954451"/>
              </a:cubicBezTo>
              <a:cubicBezTo>
                <a:pt x="2134302" y="963217"/>
                <a:pt x="2142302" y="974402"/>
                <a:pt x="2152650" y="983026"/>
              </a:cubicBezTo>
              <a:cubicBezTo>
                <a:pt x="2191622" y="1015503"/>
                <a:pt x="2172744" y="990072"/>
                <a:pt x="2219325" y="1021126"/>
              </a:cubicBezTo>
              <a:cubicBezTo>
                <a:pt x="2236241" y="1032403"/>
                <a:pt x="2251755" y="1045720"/>
                <a:pt x="2266950" y="1059226"/>
              </a:cubicBezTo>
              <a:cubicBezTo>
                <a:pt x="2280374" y="1071158"/>
                <a:pt x="2290106" y="1087363"/>
                <a:pt x="2305050" y="1097326"/>
              </a:cubicBezTo>
              <a:cubicBezTo>
                <a:pt x="2319276" y="1106810"/>
                <a:pt x="2337382" y="1108730"/>
                <a:pt x="2352675" y="1116376"/>
              </a:cubicBezTo>
              <a:cubicBezTo>
                <a:pt x="2362914" y="1121496"/>
                <a:pt x="2371725" y="1129076"/>
                <a:pt x="2381250" y="1135426"/>
              </a:cubicBezTo>
              <a:cubicBezTo>
                <a:pt x="2387600" y="1144951"/>
                <a:pt x="2392205" y="1155906"/>
                <a:pt x="2400300" y="1164001"/>
              </a:cubicBezTo>
              <a:cubicBezTo>
                <a:pt x="2408395" y="1172096"/>
                <a:pt x="2419717" y="1176182"/>
                <a:pt x="2428875" y="1183051"/>
              </a:cubicBezTo>
              <a:cubicBezTo>
                <a:pt x="2445139" y="1195249"/>
                <a:pt x="2460625" y="1208451"/>
                <a:pt x="2476500" y="1221151"/>
              </a:cubicBezTo>
              <a:cubicBezTo>
                <a:pt x="2494643" y="1275580"/>
                <a:pt x="2471057" y="1230222"/>
                <a:pt x="2514600" y="1259251"/>
              </a:cubicBezTo>
              <a:cubicBezTo>
                <a:pt x="2525808" y="1266723"/>
                <a:pt x="2531400" y="1281284"/>
                <a:pt x="2543175" y="1287826"/>
              </a:cubicBezTo>
              <a:cubicBezTo>
                <a:pt x="2560728" y="1297578"/>
                <a:pt x="2600325" y="1306876"/>
                <a:pt x="2600325" y="1306876"/>
              </a:cubicBezTo>
              <a:cubicBezTo>
                <a:pt x="2606675" y="1287826"/>
                <a:pt x="2619375" y="1269806"/>
                <a:pt x="2619375" y="1249726"/>
              </a:cubicBezTo>
              <a:cubicBezTo>
                <a:pt x="2619375" y="1235527"/>
                <a:pt x="2600325" y="1273627"/>
                <a:pt x="2600325" y="1287826"/>
              </a:cubicBezTo>
              <a:cubicBezTo>
                <a:pt x="2600325" y="1302332"/>
                <a:pt x="2656799" y="1353825"/>
                <a:pt x="2657475" y="1354501"/>
              </a:cubicBezTo>
              <a:cubicBezTo>
                <a:pt x="2660650" y="1367201"/>
                <a:pt x="2659493" y="1381877"/>
                <a:pt x="2667000" y="1392601"/>
              </a:cubicBezTo>
              <a:cubicBezTo>
                <a:pt x="2680593" y="1412019"/>
                <a:pt x="2723682" y="1454279"/>
                <a:pt x="2752725" y="1468801"/>
              </a:cubicBezTo>
              <a:cubicBezTo>
                <a:pt x="2761705" y="1473291"/>
                <a:pt x="2772320" y="1473836"/>
                <a:pt x="2781300" y="1478326"/>
              </a:cubicBezTo>
              <a:cubicBezTo>
                <a:pt x="2847079" y="1511215"/>
                <a:pt x="2768681" y="1487077"/>
                <a:pt x="2847975" y="1506901"/>
              </a:cubicBezTo>
              <a:cubicBezTo>
                <a:pt x="2914619" y="1595760"/>
                <a:pt x="2840842" y="1506197"/>
                <a:pt x="2905125" y="1564051"/>
              </a:cubicBezTo>
              <a:cubicBezTo>
                <a:pt x="2991919" y="1642165"/>
                <a:pt x="2937823" y="1619400"/>
                <a:pt x="3000375" y="1640251"/>
              </a:cubicBezTo>
              <a:cubicBezTo>
                <a:pt x="3015213" y="1588319"/>
                <a:pt x="3013495" y="1546978"/>
                <a:pt x="3076575" y="1525951"/>
              </a:cubicBezTo>
              <a:cubicBezTo>
                <a:pt x="3091635" y="1520931"/>
                <a:pt x="3057227" y="1551133"/>
                <a:pt x="3048000" y="1564051"/>
              </a:cubicBezTo>
              <a:cubicBezTo>
                <a:pt x="3024919" y="1596364"/>
                <a:pt x="3031221" y="1585814"/>
                <a:pt x="3019425" y="1621201"/>
              </a:cubicBezTo>
              <a:cubicBezTo>
                <a:pt x="3052640" y="1687631"/>
                <a:pt x="3020712" y="1633815"/>
                <a:pt x="3067050" y="1687876"/>
              </a:cubicBezTo>
              <a:cubicBezTo>
                <a:pt x="3077381" y="1699929"/>
                <a:pt x="3086398" y="1713058"/>
                <a:pt x="3095625" y="1725976"/>
              </a:cubicBezTo>
              <a:cubicBezTo>
                <a:pt x="3102279" y="1735291"/>
                <a:pt x="3106580" y="1746456"/>
                <a:pt x="3114675" y="1754551"/>
              </a:cubicBezTo>
              <a:cubicBezTo>
                <a:pt x="3122770" y="1762646"/>
                <a:pt x="3134741" y="1765943"/>
                <a:pt x="3143250" y="1773601"/>
              </a:cubicBezTo>
              <a:cubicBezTo>
                <a:pt x="3166612" y="1794627"/>
                <a:pt x="3192490" y="1814124"/>
                <a:pt x="3209925" y="1840276"/>
              </a:cubicBezTo>
              <a:cubicBezTo>
                <a:pt x="3216275" y="1849801"/>
                <a:pt x="3219660" y="1862197"/>
                <a:pt x="3228975" y="1868851"/>
              </a:cubicBezTo>
              <a:cubicBezTo>
                <a:pt x="3242888" y="1878789"/>
                <a:pt x="3261590" y="1879714"/>
                <a:pt x="3276600" y="1887901"/>
              </a:cubicBezTo>
              <a:cubicBezTo>
                <a:pt x="3296700" y="1898864"/>
                <a:pt x="3312030" y="1918761"/>
                <a:pt x="3333750" y="1926001"/>
              </a:cubicBezTo>
              <a:cubicBezTo>
                <a:pt x="3365808" y="1936687"/>
                <a:pt x="3367469" y="1935744"/>
                <a:pt x="3400425" y="1954576"/>
              </a:cubicBezTo>
              <a:cubicBezTo>
                <a:pt x="3476013" y="1997769"/>
                <a:pt x="3378774" y="1945915"/>
                <a:pt x="3457575" y="2002201"/>
              </a:cubicBezTo>
              <a:cubicBezTo>
                <a:pt x="3488376" y="2024202"/>
                <a:pt x="3509695" y="2021632"/>
                <a:pt x="3543300" y="2040301"/>
              </a:cubicBezTo>
              <a:cubicBezTo>
                <a:pt x="3557177" y="2048011"/>
                <a:pt x="3567938" y="2060462"/>
                <a:pt x="3581400" y="2068876"/>
              </a:cubicBezTo>
              <a:cubicBezTo>
                <a:pt x="3608303" y="2085690"/>
                <a:pt x="3620297" y="2088192"/>
                <a:pt x="3648075" y="2097451"/>
              </a:cubicBezTo>
              <a:cubicBezTo>
                <a:pt x="3669141" y="2118517"/>
                <a:pt x="3678703" y="2131815"/>
                <a:pt x="3705225" y="2145076"/>
              </a:cubicBezTo>
              <a:cubicBezTo>
                <a:pt x="3714205" y="2149566"/>
                <a:pt x="3724275" y="2151426"/>
                <a:pt x="3733800" y="2154601"/>
              </a:cubicBezTo>
              <a:cubicBezTo>
                <a:pt x="3740150" y="2164126"/>
                <a:pt x="3744755" y="2175081"/>
                <a:pt x="3752850" y="2183176"/>
              </a:cubicBezTo>
              <a:cubicBezTo>
                <a:pt x="3760945" y="2191271"/>
                <a:pt x="3792873" y="2202226"/>
                <a:pt x="3781425" y="2202226"/>
              </a:cubicBezTo>
              <a:cubicBezTo>
                <a:pt x="3767226" y="2202226"/>
                <a:pt x="3756376" y="2188769"/>
                <a:pt x="3743325" y="2183176"/>
              </a:cubicBezTo>
              <a:cubicBezTo>
                <a:pt x="3734097" y="2179221"/>
                <a:pt x="3724275" y="2176826"/>
                <a:pt x="3714750" y="2173651"/>
              </a:cubicBezTo>
              <a:cubicBezTo>
                <a:pt x="3605297" y="2187333"/>
                <a:pt x="3673196" y="2172309"/>
                <a:pt x="3590925" y="2202226"/>
              </a:cubicBezTo>
              <a:cubicBezTo>
                <a:pt x="3572054" y="2209088"/>
                <a:pt x="3533775" y="2221276"/>
                <a:pt x="3533775" y="2221276"/>
              </a:cubicBezTo>
              <a:lnTo>
                <a:pt x="3009900" y="2211751"/>
              </a:lnTo>
              <a:cubicBezTo>
                <a:pt x="2993431" y="2211236"/>
                <a:pt x="2868392" y="2195253"/>
                <a:pt x="2847975" y="2192701"/>
              </a:cubicBezTo>
              <a:lnTo>
                <a:pt x="2181225" y="2202226"/>
              </a:lnTo>
              <a:cubicBezTo>
                <a:pt x="2133494" y="2202226"/>
                <a:pt x="2086041" y="2194648"/>
                <a:pt x="2038350" y="2192701"/>
              </a:cubicBezTo>
              <a:cubicBezTo>
                <a:pt x="1930443" y="2188297"/>
                <a:pt x="1822450" y="2186351"/>
                <a:pt x="1714500" y="2183176"/>
              </a:cubicBezTo>
              <a:cubicBezTo>
                <a:pt x="1234890" y="2135215"/>
                <a:pt x="1676185" y="2175890"/>
                <a:pt x="466725" y="2183176"/>
              </a:cubicBezTo>
              <a:lnTo>
                <a:pt x="38100" y="2183176"/>
              </a:lnTo>
              <a:close/>
            </a:path>
          </a:pathLst>
        </a:custGeom>
        <a:blipFill>
          <a:blip xmlns:r="http://schemas.openxmlformats.org/officeDocument/2006/relationships" r:embed="rId1"/>
          <a:tile tx="0" ty="0" sx="100000" sy="100000" flip="none" algn="tl"/>
        </a:blip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12</xdr:row>
      <xdr:rowOff>76200</xdr:rowOff>
    </xdr:from>
    <xdr:to>
      <xdr:col>8</xdr:col>
      <xdr:colOff>9525</xdr:colOff>
      <xdr:row>30</xdr:row>
      <xdr:rowOff>9525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541FB7C6-6935-A0ED-C0DF-D15CAA390105}"/>
            </a:ext>
          </a:extLst>
        </xdr:cNvPr>
        <xdr:cNvCxnSpPr/>
      </xdr:nvCxnSpPr>
      <xdr:spPr>
        <a:xfrm flipH="1" flipV="1">
          <a:off x="6086475" y="2362200"/>
          <a:ext cx="9525" cy="33623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30</xdr:row>
      <xdr:rowOff>0</xdr:rowOff>
    </xdr:from>
    <xdr:to>
      <xdr:col>18</xdr:col>
      <xdr:colOff>161925</xdr:colOff>
      <xdr:row>30</xdr:row>
      <xdr:rowOff>19050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57B946F6-9650-4F24-B1DA-0879FD5A201D}"/>
            </a:ext>
          </a:extLst>
        </xdr:cNvPr>
        <xdr:cNvCxnSpPr/>
      </xdr:nvCxnSpPr>
      <xdr:spPr>
        <a:xfrm>
          <a:off x="6086475" y="5715000"/>
          <a:ext cx="6257925" cy="190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276225</xdr:colOff>
      <xdr:row>13</xdr:row>
      <xdr:rowOff>19050</xdr:rowOff>
    </xdr:from>
    <xdr:to>
      <xdr:col>14</xdr:col>
      <xdr:colOff>419100</xdr:colOff>
      <xdr:row>31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xmlns="" id="{943CFEE2-5742-9A5F-A5E8-E65FF425E99C}"/>
            </a:ext>
          </a:extLst>
        </xdr:cNvPr>
        <xdr:cNvCxnSpPr/>
      </xdr:nvCxnSpPr>
      <xdr:spPr>
        <a:xfrm>
          <a:off x="5753100" y="2495550"/>
          <a:ext cx="4410075" cy="3409950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415925</xdr:colOff>
      <xdr:row>27</xdr:row>
      <xdr:rowOff>84198</xdr:rowOff>
    </xdr:from>
    <xdr:to>
      <xdr:col>14</xdr:col>
      <xdr:colOff>574677</xdr:colOff>
      <xdr:row>28</xdr:row>
      <xdr:rowOff>106304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xmlns="" id="{16808584-FCFB-04F8-7EFA-D3B692CB85A8}"/>
            </a:ext>
          </a:extLst>
        </xdr:cNvPr>
        <xdr:cNvSpPr/>
      </xdr:nvSpPr>
      <xdr:spPr>
        <a:xfrm rot="1311235">
          <a:off x="10160000" y="5227698"/>
          <a:ext cx="158752" cy="2126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473073</xdr:colOff>
      <xdr:row>19</xdr:row>
      <xdr:rowOff>84199</xdr:rowOff>
    </xdr:from>
    <xdr:to>
      <xdr:col>9</xdr:col>
      <xdr:colOff>22225</xdr:colOff>
      <xdr:row>20</xdr:row>
      <xdr:rowOff>106305</xdr:rowOff>
    </xdr:to>
    <xdr:sp macro="" textlink="">
      <xdr:nvSpPr>
        <xdr:cNvPr id="17" name="Arrow: Down 16">
          <a:extLst>
            <a:ext uri="{FF2B5EF4-FFF2-40B4-BE49-F238E27FC236}">
              <a16:creationId xmlns:a16="http://schemas.microsoft.com/office/drawing/2014/main" xmlns="" id="{D6936374-09CD-4787-B76D-2646CEFE8D2F}"/>
            </a:ext>
          </a:extLst>
        </xdr:cNvPr>
        <xdr:cNvSpPr/>
      </xdr:nvSpPr>
      <xdr:spPr>
        <a:xfrm rot="1261943">
          <a:off x="6559548" y="3703699"/>
          <a:ext cx="158752" cy="2126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19050</xdr:colOff>
      <xdr:row>16</xdr:row>
      <xdr:rowOff>133350</xdr:rowOff>
    </xdr:from>
    <xdr:to>
      <xdr:col>17</xdr:col>
      <xdr:colOff>304800</xdr:colOff>
      <xdr:row>30</xdr:row>
      <xdr:rowOff>152400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709777C8-56DE-4560-AE2D-C3508660C9BC}"/>
            </a:ext>
          </a:extLst>
        </xdr:cNvPr>
        <xdr:cNvCxnSpPr/>
      </xdr:nvCxnSpPr>
      <xdr:spPr>
        <a:xfrm>
          <a:off x="5495925" y="3181350"/>
          <a:ext cx="6381750" cy="2686050"/>
        </a:xfrm>
        <a:prstGeom prst="line">
          <a:avLst/>
        </a:prstGeom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606425</xdr:colOff>
      <xdr:row>27</xdr:row>
      <xdr:rowOff>74672</xdr:rowOff>
    </xdr:from>
    <xdr:to>
      <xdr:col>13</xdr:col>
      <xdr:colOff>155577</xdr:colOff>
      <xdr:row>28</xdr:row>
      <xdr:rowOff>96778</xdr:rowOff>
    </xdr:to>
    <xdr:sp macro="" textlink="">
      <xdr:nvSpPr>
        <xdr:cNvPr id="22" name="Arrow: Down 21">
          <a:extLst>
            <a:ext uri="{FF2B5EF4-FFF2-40B4-BE49-F238E27FC236}">
              <a16:creationId xmlns:a16="http://schemas.microsoft.com/office/drawing/2014/main" xmlns="" id="{2BAAAFFE-4F67-4C1D-9882-2E9607F78029}"/>
            </a:ext>
          </a:extLst>
        </xdr:cNvPr>
        <xdr:cNvSpPr/>
      </xdr:nvSpPr>
      <xdr:spPr>
        <a:xfrm rot="1932844">
          <a:off x="9131300" y="5218172"/>
          <a:ext cx="158752" cy="2126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244474</xdr:colOff>
      <xdr:row>16</xdr:row>
      <xdr:rowOff>46101</xdr:rowOff>
    </xdr:from>
    <xdr:to>
      <xdr:col>8</xdr:col>
      <xdr:colOff>403226</xdr:colOff>
      <xdr:row>17</xdr:row>
      <xdr:rowOff>68207</xdr:rowOff>
    </xdr:to>
    <xdr:sp macro="" textlink="">
      <xdr:nvSpPr>
        <xdr:cNvPr id="23" name="Arrow: Down 22">
          <a:extLst>
            <a:ext uri="{FF2B5EF4-FFF2-40B4-BE49-F238E27FC236}">
              <a16:creationId xmlns:a16="http://schemas.microsoft.com/office/drawing/2014/main" xmlns="" id="{94B7DC67-082F-411D-A38D-F8C19B23C6F1}"/>
            </a:ext>
          </a:extLst>
        </xdr:cNvPr>
        <xdr:cNvSpPr/>
      </xdr:nvSpPr>
      <xdr:spPr>
        <a:xfrm rot="1932844">
          <a:off x="6330949" y="3094101"/>
          <a:ext cx="158752" cy="2126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225423</xdr:colOff>
      <xdr:row>28</xdr:row>
      <xdr:rowOff>141348</xdr:rowOff>
    </xdr:from>
    <xdr:to>
      <xdr:col>9</xdr:col>
      <xdr:colOff>384175</xdr:colOff>
      <xdr:row>29</xdr:row>
      <xdr:rowOff>163454</xdr:rowOff>
    </xdr:to>
    <xdr:sp macro="" textlink="">
      <xdr:nvSpPr>
        <xdr:cNvPr id="24" name="Arrow: Down 23">
          <a:extLst>
            <a:ext uri="{FF2B5EF4-FFF2-40B4-BE49-F238E27FC236}">
              <a16:creationId xmlns:a16="http://schemas.microsoft.com/office/drawing/2014/main" xmlns="" id="{9CD8699A-07A5-4E57-A8B7-07AD6616E005}"/>
            </a:ext>
          </a:extLst>
        </xdr:cNvPr>
        <xdr:cNvSpPr/>
      </xdr:nvSpPr>
      <xdr:spPr>
        <a:xfrm rot="10800000">
          <a:off x="6921498" y="5475348"/>
          <a:ext cx="158752" cy="2126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27046</xdr:colOff>
      <xdr:row>27</xdr:row>
      <xdr:rowOff>44450</xdr:rowOff>
    </xdr:from>
    <xdr:to>
      <xdr:col>8</xdr:col>
      <xdr:colOff>239652</xdr:colOff>
      <xdr:row>28</xdr:row>
      <xdr:rowOff>12702</xdr:rowOff>
    </xdr:to>
    <xdr:sp macro="" textlink="">
      <xdr:nvSpPr>
        <xdr:cNvPr id="25" name="Arrow: Down 24">
          <a:extLst>
            <a:ext uri="{FF2B5EF4-FFF2-40B4-BE49-F238E27FC236}">
              <a16:creationId xmlns:a16="http://schemas.microsoft.com/office/drawing/2014/main" xmlns="" id="{7865566F-C17E-49D6-8F8C-3F81A9CBCBEA}"/>
            </a:ext>
          </a:extLst>
        </xdr:cNvPr>
        <xdr:cNvSpPr/>
      </xdr:nvSpPr>
      <xdr:spPr>
        <a:xfrm rot="16200000">
          <a:off x="6140448" y="5161023"/>
          <a:ext cx="158752" cy="21260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28575</xdr:colOff>
      <xdr:row>21</xdr:row>
      <xdr:rowOff>161925</xdr:rowOff>
    </xdr:from>
    <xdr:to>
      <xdr:col>11</xdr:col>
      <xdr:colOff>152400</xdr:colOff>
      <xdr:row>22</xdr:row>
      <xdr:rowOff>95250</xdr:rowOff>
    </xdr:to>
    <xdr:sp macro="" textlink="">
      <xdr:nvSpPr>
        <xdr:cNvPr id="27" name="Star: 5 Points 26">
          <a:extLst>
            <a:ext uri="{FF2B5EF4-FFF2-40B4-BE49-F238E27FC236}">
              <a16:creationId xmlns:a16="http://schemas.microsoft.com/office/drawing/2014/main" xmlns="" id="{B1757827-4004-D6CD-32B9-F3B5D64D0B86}"/>
            </a:ext>
          </a:extLst>
        </xdr:cNvPr>
        <xdr:cNvSpPr/>
      </xdr:nvSpPr>
      <xdr:spPr>
        <a:xfrm>
          <a:off x="7943850" y="4162425"/>
          <a:ext cx="123825" cy="123825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542925</xdr:colOff>
      <xdr:row>17</xdr:row>
      <xdr:rowOff>133350</xdr:rowOff>
    </xdr:from>
    <xdr:to>
      <xdr:col>8</xdr:col>
      <xdr:colOff>57150</xdr:colOff>
      <xdr:row>18</xdr:row>
      <xdr:rowOff>76200</xdr:rowOff>
    </xdr:to>
    <xdr:sp macro="" textlink="">
      <xdr:nvSpPr>
        <xdr:cNvPr id="28" name="Star: 5 Points 27">
          <a:extLst>
            <a:ext uri="{FF2B5EF4-FFF2-40B4-BE49-F238E27FC236}">
              <a16:creationId xmlns:a16="http://schemas.microsoft.com/office/drawing/2014/main" xmlns="" id="{9A125777-5BF4-492F-BC99-102CB301C188}"/>
            </a:ext>
          </a:extLst>
        </xdr:cNvPr>
        <xdr:cNvSpPr/>
      </xdr:nvSpPr>
      <xdr:spPr>
        <a:xfrm>
          <a:off x="6019800" y="3371850"/>
          <a:ext cx="1238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123825</xdr:colOff>
      <xdr:row>29</xdr:row>
      <xdr:rowOff>114300</xdr:rowOff>
    </xdr:from>
    <xdr:to>
      <xdr:col>14</xdr:col>
      <xdr:colOff>247650</xdr:colOff>
      <xdr:row>30</xdr:row>
      <xdr:rowOff>57150</xdr:rowOff>
    </xdr:to>
    <xdr:sp macro="" textlink="">
      <xdr:nvSpPr>
        <xdr:cNvPr id="29" name="Star: 5 Points 28">
          <a:extLst>
            <a:ext uri="{FF2B5EF4-FFF2-40B4-BE49-F238E27FC236}">
              <a16:creationId xmlns:a16="http://schemas.microsoft.com/office/drawing/2014/main" xmlns="" id="{308F3662-35FF-402C-8F97-510AC4B2A71E}"/>
            </a:ext>
          </a:extLst>
        </xdr:cNvPr>
        <xdr:cNvSpPr/>
      </xdr:nvSpPr>
      <xdr:spPr>
        <a:xfrm>
          <a:off x="9867900" y="5638800"/>
          <a:ext cx="123825" cy="133350"/>
        </a:xfrm>
        <a:prstGeom prst="star5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428625</xdr:colOff>
      <xdr:row>20</xdr:row>
      <xdr:rowOff>19050</xdr:rowOff>
    </xdr:from>
    <xdr:to>
      <xdr:col>14</xdr:col>
      <xdr:colOff>190500</xdr:colOff>
      <xdr:row>31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xmlns="" id="{B6DC15D7-0B2F-EC58-E019-8E3E83F90BEC}"/>
            </a:ext>
          </a:extLst>
        </xdr:cNvPr>
        <xdr:cNvCxnSpPr/>
      </xdr:nvCxnSpPr>
      <xdr:spPr>
        <a:xfrm>
          <a:off x="5419725" y="3829050"/>
          <a:ext cx="4638675" cy="2076450"/>
        </a:xfrm>
        <a:prstGeom prst="line">
          <a:avLst/>
        </a:prstGeom>
        <a:ln w="38100"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18</xdr:col>
      <xdr:colOff>476246</xdr:colOff>
      <xdr:row>19</xdr:row>
      <xdr:rowOff>95250</xdr:rowOff>
    </xdr:to>
    <xdr:sp macro="" textlink="">
      <xdr:nvSpPr>
        <xdr:cNvPr id="19" name="Rectangle 18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2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20</xdr:row>
      <xdr:rowOff>66675</xdr:rowOff>
    </xdr:from>
    <xdr:to>
      <xdr:col>11</xdr:col>
      <xdr:colOff>590550</xdr:colOff>
      <xdr:row>27</xdr:row>
      <xdr:rowOff>163777</xdr:rowOff>
    </xdr:to>
    <xdr:sp macro="" textlink="">
      <xdr:nvSpPr>
        <xdr:cNvPr id="2" name="Freeform: Shape 1">
          <a:extLst>
            <a:ext uri="{FF2B5EF4-FFF2-40B4-BE49-F238E27FC236}">
              <a16:creationId xmlns:a16="http://schemas.microsoft.com/office/drawing/2014/main" xmlns="" id="{7ADD187F-3460-4024-A2FE-5C2863CD48AF}"/>
            </a:ext>
          </a:extLst>
        </xdr:cNvPr>
        <xdr:cNvSpPr/>
      </xdr:nvSpPr>
      <xdr:spPr>
        <a:xfrm>
          <a:off x="5829300" y="3876675"/>
          <a:ext cx="2381250" cy="1430602"/>
        </a:xfrm>
        <a:custGeom>
          <a:avLst/>
          <a:gdLst>
            <a:gd name="connsiteX0" fmla="*/ 38100 w 2431934"/>
            <a:gd name="connsiteY0" fmla="*/ 1505807 h 1526709"/>
            <a:gd name="connsiteX1" fmla="*/ 28575 w 2431934"/>
            <a:gd name="connsiteY1" fmla="*/ 1458182 h 1526709"/>
            <a:gd name="connsiteX2" fmla="*/ 9525 w 2431934"/>
            <a:gd name="connsiteY2" fmla="*/ 1143857 h 1526709"/>
            <a:gd name="connsiteX3" fmla="*/ 0 w 2431934"/>
            <a:gd name="connsiteY3" fmla="*/ 58007 h 1526709"/>
            <a:gd name="connsiteX4" fmla="*/ 66675 w 2431934"/>
            <a:gd name="connsiteY4" fmla="*/ 10382 h 1526709"/>
            <a:gd name="connsiteX5" fmla="*/ 104775 w 2431934"/>
            <a:gd name="connsiteY5" fmla="*/ 29432 h 1526709"/>
            <a:gd name="connsiteX6" fmla="*/ 180975 w 2431934"/>
            <a:gd name="connsiteY6" fmla="*/ 77057 h 1526709"/>
            <a:gd name="connsiteX7" fmla="*/ 200025 w 2431934"/>
            <a:gd name="connsiteY7" fmla="*/ 105632 h 1526709"/>
            <a:gd name="connsiteX8" fmla="*/ 323850 w 2431934"/>
            <a:gd name="connsiteY8" fmla="*/ 153257 h 1526709"/>
            <a:gd name="connsiteX9" fmla="*/ 419100 w 2431934"/>
            <a:gd name="connsiteY9" fmla="*/ 191357 h 1526709"/>
            <a:gd name="connsiteX10" fmla="*/ 523875 w 2431934"/>
            <a:gd name="connsiteY10" fmla="*/ 219932 h 1526709"/>
            <a:gd name="connsiteX11" fmla="*/ 581025 w 2431934"/>
            <a:gd name="connsiteY11" fmla="*/ 248507 h 1526709"/>
            <a:gd name="connsiteX12" fmla="*/ 619125 w 2431934"/>
            <a:gd name="connsiteY12" fmla="*/ 277082 h 1526709"/>
            <a:gd name="connsiteX13" fmla="*/ 723900 w 2431934"/>
            <a:gd name="connsiteY13" fmla="*/ 324707 h 1526709"/>
            <a:gd name="connsiteX14" fmla="*/ 762000 w 2431934"/>
            <a:gd name="connsiteY14" fmla="*/ 343757 h 1526709"/>
            <a:gd name="connsiteX15" fmla="*/ 828675 w 2431934"/>
            <a:gd name="connsiteY15" fmla="*/ 381857 h 1526709"/>
            <a:gd name="connsiteX16" fmla="*/ 857250 w 2431934"/>
            <a:gd name="connsiteY16" fmla="*/ 391382 h 1526709"/>
            <a:gd name="connsiteX17" fmla="*/ 923925 w 2431934"/>
            <a:gd name="connsiteY17" fmla="*/ 410432 h 1526709"/>
            <a:gd name="connsiteX18" fmla="*/ 1019175 w 2431934"/>
            <a:gd name="connsiteY18" fmla="*/ 448532 h 1526709"/>
            <a:gd name="connsiteX19" fmla="*/ 1143000 w 2431934"/>
            <a:gd name="connsiteY19" fmla="*/ 477107 h 1526709"/>
            <a:gd name="connsiteX20" fmla="*/ 1257300 w 2431934"/>
            <a:gd name="connsiteY20" fmla="*/ 524732 h 1526709"/>
            <a:gd name="connsiteX21" fmla="*/ 1304925 w 2431934"/>
            <a:gd name="connsiteY21" fmla="*/ 543782 h 1526709"/>
            <a:gd name="connsiteX22" fmla="*/ 1504950 w 2431934"/>
            <a:gd name="connsiteY22" fmla="*/ 629507 h 1526709"/>
            <a:gd name="connsiteX23" fmla="*/ 1571625 w 2431934"/>
            <a:gd name="connsiteY23" fmla="*/ 658082 h 1526709"/>
            <a:gd name="connsiteX24" fmla="*/ 1714500 w 2431934"/>
            <a:gd name="connsiteY24" fmla="*/ 724757 h 1526709"/>
            <a:gd name="connsiteX25" fmla="*/ 1828800 w 2431934"/>
            <a:gd name="connsiteY25" fmla="*/ 772382 h 1526709"/>
            <a:gd name="connsiteX26" fmla="*/ 1866900 w 2431934"/>
            <a:gd name="connsiteY26" fmla="*/ 810482 h 1526709"/>
            <a:gd name="connsiteX27" fmla="*/ 1876425 w 2431934"/>
            <a:gd name="connsiteY27" fmla="*/ 848582 h 1526709"/>
            <a:gd name="connsiteX28" fmla="*/ 1895475 w 2431934"/>
            <a:gd name="connsiteY28" fmla="*/ 877157 h 1526709"/>
            <a:gd name="connsiteX29" fmla="*/ 1933575 w 2431934"/>
            <a:gd name="connsiteY29" fmla="*/ 943832 h 1526709"/>
            <a:gd name="connsiteX30" fmla="*/ 1962150 w 2431934"/>
            <a:gd name="connsiteY30" fmla="*/ 962882 h 1526709"/>
            <a:gd name="connsiteX31" fmla="*/ 2000250 w 2431934"/>
            <a:gd name="connsiteY31" fmla="*/ 1020032 h 1526709"/>
            <a:gd name="connsiteX32" fmla="*/ 2009775 w 2431934"/>
            <a:gd name="connsiteY32" fmla="*/ 1058132 h 1526709"/>
            <a:gd name="connsiteX33" fmla="*/ 2124075 w 2431934"/>
            <a:gd name="connsiteY33" fmla="*/ 1153382 h 1526709"/>
            <a:gd name="connsiteX34" fmla="*/ 2152650 w 2431934"/>
            <a:gd name="connsiteY34" fmla="*/ 1191482 h 1526709"/>
            <a:gd name="connsiteX35" fmla="*/ 2181225 w 2431934"/>
            <a:gd name="connsiteY35" fmla="*/ 1220057 h 1526709"/>
            <a:gd name="connsiteX36" fmla="*/ 2190750 w 2431934"/>
            <a:gd name="connsiteY36" fmla="*/ 1248632 h 1526709"/>
            <a:gd name="connsiteX37" fmla="*/ 2257425 w 2431934"/>
            <a:gd name="connsiteY37" fmla="*/ 1353407 h 1526709"/>
            <a:gd name="connsiteX38" fmla="*/ 2324100 w 2431934"/>
            <a:gd name="connsiteY38" fmla="*/ 1410557 h 1526709"/>
            <a:gd name="connsiteX39" fmla="*/ 2352675 w 2431934"/>
            <a:gd name="connsiteY39" fmla="*/ 1429607 h 1526709"/>
            <a:gd name="connsiteX40" fmla="*/ 2409825 w 2431934"/>
            <a:gd name="connsiteY40" fmla="*/ 1496282 h 1526709"/>
            <a:gd name="connsiteX41" fmla="*/ 2428875 w 2431934"/>
            <a:gd name="connsiteY41" fmla="*/ 1524857 h 1526709"/>
            <a:gd name="connsiteX42" fmla="*/ 1952625 w 2431934"/>
            <a:gd name="connsiteY42" fmla="*/ 1515332 h 1526709"/>
            <a:gd name="connsiteX43" fmla="*/ 723900 w 2431934"/>
            <a:gd name="connsiteY43" fmla="*/ 1486757 h 1526709"/>
            <a:gd name="connsiteX44" fmla="*/ 657225 w 2431934"/>
            <a:gd name="connsiteY44" fmla="*/ 1477232 h 1526709"/>
            <a:gd name="connsiteX45" fmla="*/ 200025 w 2431934"/>
            <a:gd name="connsiteY45" fmla="*/ 1486757 h 1526709"/>
            <a:gd name="connsiteX46" fmla="*/ 57150 w 2431934"/>
            <a:gd name="connsiteY46" fmla="*/ 1496282 h 1526709"/>
            <a:gd name="connsiteX47" fmla="*/ 38100 w 2431934"/>
            <a:gd name="connsiteY47" fmla="*/ 1505807 h 15267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  <a:cxn ang="0">
              <a:pos x="connsiteX42" y="connsiteY42"/>
            </a:cxn>
            <a:cxn ang="0">
              <a:pos x="connsiteX43" y="connsiteY43"/>
            </a:cxn>
            <a:cxn ang="0">
              <a:pos x="connsiteX44" y="connsiteY44"/>
            </a:cxn>
            <a:cxn ang="0">
              <a:pos x="connsiteX45" y="connsiteY45"/>
            </a:cxn>
            <a:cxn ang="0">
              <a:pos x="connsiteX46" y="connsiteY46"/>
            </a:cxn>
            <a:cxn ang="0">
              <a:pos x="connsiteX47" y="connsiteY47"/>
            </a:cxn>
          </a:cxnLst>
          <a:rect l="l" t="t" r="r" b="b"/>
          <a:pathLst>
            <a:path w="2431934" h="1526709">
              <a:moveTo>
                <a:pt x="38100" y="1505807"/>
              </a:moveTo>
              <a:cubicBezTo>
                <a:pt x="33338" y="1499457"/>
                <a:pt x="30865" y="1474209"/>
                <a:pt x="28575" y="1458182"/>
              </a:cubicBezTo>
              <a:cubicBezTo>
                <a:pt x="12739" y="1347332"/>
                <a:pt x="14646" y="1266761"/>
                <a:pt x="9525" y="1143857"/>
              </a:cubicBezTo>
              <a:cubicBezTo>
                <a:pt x="6350" y="781907"/>
                <a:pt x="0" y="419971"/>
                <a:pt x="0" y="58007"/>
              </a:cubicBezTo>
              <a:cubicBezTo>
                <a:pt x="0" y="-20310"/>
                <a:pt x="3175" y="-201"/>
                <a:pt x="66675" y="10382"/>
              </a:cubicBezTo>
              <a:cubicBezTo>
                <a:pt x="79375" y="16732"/>
                <a:pt x="92510" y="22278"/>
                <a:pt x="104775" y="29432"/>
              </a:cubicBezTo>
              <a:cubicBezTo>
                <a:pt x="130648" y="44524"/>
                <a:pt x="180975" y="77057"/>
                <a:pt x="180975" y="77057"/>
              </a:cubicBezTo>
              <a:cubicBezTo>
                <a:pt x="187325" y="86582"/>
                <a:pt x="191231" y="98303"/>
                <a:pt x="200025" y="105632"/>
              </a:cubicBezTo>
              <a:cubicBezTo>
                <a:pt x="222228" y="124135"/>
                <a:pt x="315526" y="149928"/>
                <a:pt x="323850" y="153257"/>
              </a:cubicBezTo>
              <a:cubicBezTo>
                <a:pt x="355600" y="165957"/>
                <a:pt x="385925" y="183063"/>
                <a:pt x="419100" y="191357"/>
              </a:cubicBezTo>
              <a:cubicBezTo>
                <a:pt x="479624" y="206488"/>
                <a:pt x="444613" y="197286"/>
                <a:pt x="523875" y="219932"/>
              </a:cubicBezTo>
              <a:cubicBezTo>
                <a:pt x="673212" y="319490"/>
                <a:pt x="443002" y="169637"/>
                <a:pt x="581025" y="248507"/>
              </a:cubicBezTo>
              <a:cubicBezTo>
                <a:pt x="594808" y="256383"/>
                <a:pt x="605663" y="268668"/>
                <a:pt x="619125" y="277082"/>
              </a:cubicBezTo>
              <a:cubicBezTo>
                <a:pt x="642186" y="291495"/>
                <a:pt x="706614" y="316850"/>
                <a:pt x="723900" y="324707"/>
              </a:cubicBezTo>
              <a:cubicBezTo>
                <a:pt x="736826" y="330583"/>
                <a:pt x="749672" y="336712"/>
                <a:pt x="762000" y="343757"/>
              </a:cubicBezTo>
              <a:cubicBezTo>
                <a:pt x="809829" y="371088"/>
                <a:pt x="771108" y="357185"/>
                <a:pt x="828675" y="381857"/>
              </a:cubicBezTo>
              <a:cubicBezTo>
                <a:pt x="837903" y="385812"/>
                <a:pt x="847633" y="388497"/>
                <a:pt x="857250" y="391382"/>
              </a:cubicBezTo>
              <a:cubicBezTo>
                <a:pt x="879390" y="398024"/>
                <a:pt x="902202" y="402533"/>
                <a:pt x="923925" y="410432"/>
              </a:cubicBezTo>
              <a:cubicBezTo>
                <a:pt x="1030786" y="449290"/>
                <a:pt x="876713" y="409679"/>
                <a:pt x="1019175" y="448532"/>
              </a:cubicBezTo>
              <a:cubicBezTo>
                <a:pt x="1087915" y="467279"/>
                <a:pt x="1058465" y="447520"/>
                <a:pt x="1143000" y="477107"/>
              </a:cubicBezTo>
              <a:cubicBezTo>
                <a:pt x="1181958" y="490742"/>
                <a:pt x="1219134" y="509017"/>
                <a:pt x="1257300" y="524732"/>
              </a:cubicBezTo>
              <a:cubicBezTo>
                <a:pt x="1273110" y="531242"/>
                <a:pt x="1289115" y="537272"/>
                <a:pt x="1304925" y="543782"/>
              </a:cubicBezTo>
              <a:cubicBezTo>
                <a:pt x="1464788" y="609608"/>
                <a:pt x="1368857" y="569966"/>
                <a:pt x="1504950" y="629507"/>
              </a:cubicBezTo>
              <a:cubicBezTo>
                <a:pt x="1527103" y="639199"/>
                <a:pt x="1549998" y="647268"/>
                <a:pt x="1571625" y="658082"/>
              </a:cubicBezTo>
              <a:cubicBezTo>
                <a:pt x="1793979" y="769259"/>
                <a:pt x="1515692" y="631980"/>
                <a:pt x="1714500" y="724757"/>
              </a:cubicBezTo>
              <a:cubicBezTo>
                <a:pt x="1815933" y="772093"/>
                <a:pt x="1756915" y="754411"/>
                <a:pt x="1828800" y="772382"/>
              </a:cubicBezTo>
              <a:cubicBezTo>
                <a:pt x="1841500" y="785082"/>
                <a:pt x="1857381" y="795252"/>
                <a:pt x="1866900" y="810482"/>
              </a:cubicBezTo>
              <a:cubicBezTo>
                <a:pt x="1873838" y="821583"/>
                <a:pt x="1871268" y="836550"/>
                <a:pt x="1876425" y="848582"/>
              </a:cubicBezTo>
              <a:cubicBezTo>
                <a:pt x="1880934" y="859104"/>
                <a:pt x="1889795" y="867218"/>
                <a:pt x="1895475" y="877157"/>
              </a:cubicBezTo>
              <a:cubicBezTo>
                <a:pt x="1905436" y="894588"/>
                <a:pt x="1918104" y="928361"/>
                <a:pt x="1933575" y="943832"/>
              </a:cubicBezTo>
              <a:cubicBezTo>
                <a:pt x="1941670" y="951927"/>
                <a:pt x="1952625" y="956532"/>
                <a:pt x="1962150" y="962882"/>
              </a:cubicBezTo>
              <a:cubicBezTo>
                <a:pt x="1974850" y="981932"/>
                <a:pt x="1994697" y="997820"/>
                <a:pt x="2000250" y="1020032"/>
              </a:cubicBezTo>
              <a:cubicBezTo>
                <a:pt x="2003425" y="1032732"/>
                <a:pt x="2002075" y="1047545"/>
                <a:pt x="2009775" y="1058132"/>
              </a:cubicBezTo>
              <a:cubicBezTo>
                <a:pt x="2050944" y="1114740"/>
                <a:pt x="2072232" y="1122276"/>
                <a:pt x="2124075" y="1153382"/>
              </a:cubicBezTo>
              <a:cubicBezTo>
                <a:pt x="2133600" y="1166082"/>
                <a:pt x="2142319" y="1179429"/>
                <a:pt x="2152650" y="1191482"/>
              </a:cubicBezTo>
              <a:cubicBezTo>
                <a:pt x="2161416" y="1201709"/>
                <a:pt x="2173753" y="1208849"/>
                <a:pt x="2181225" y="1220057"/>
              </a:cubicBezTo>
              <a:cubicBezTo>
                <a:pt x="2186794" y="1228411"/>
                <a:pt x="2186260" y="1239652"/>
                <a:pt x="2190750" y="1248632"/>
              </a:cubicBezTo>
              <a:cubicBezTo>
                <a:pt x="2196876" y="1260884"/>
                <a:pt x="2251386" y="1348877"/>
                <a:pt x="2257425" y="1353407"/>
              </a:cubicBezTo>
              <a:cubicBezTo>
                <a:pt x="2400112" y="1460422"/>
                <a:pt x="2204699" y="1311056"/>
                <a:pt x="2324100" y="1410557"/>
              </a:cubicBezTo>
              <a:cubicBezTo>
                <a:pt x="2332894" y="1417886"/>
                <a:pt x="2343881" y="1422278"/>
                <a:pt x="2352675" y="1429607"/>
              </a:cubicBezTo>
              <a:cubicBezTo>
                <a:pt x="2377110" y="1449969"/>
                <a:pt x="2391276" y="1470313"/>
                <a:pt x="2409825" y="1496282"/>
              </a:cubicBezTo>
              <a:cubicBezTo>
                <a:pt x="2416479" y="1505597"/>
                <a:pt x="2440313" y="1524380"/>
                <a:pt x="2428875" y="1524857"/>
              </a:cubicBezTo>
              <a:cubicBezTo>
                <a:pt x="2270231" y="1531467"/>
                <a:pt x="2111375" y="1518507"/>
                <a:pt x="1952625" y="1515332"/>
              </a:cubicBezTo>
              <a:cubicBezTo>
                <a:pt x="1517013" y="1428210"/>
                <a:pt x="1966968" y="1515224"/>
                <a:pt x="723900" y="1486757"/>
              </a:cubicBezTo>
              <a:cubicBezTo>
                <a:pt x="701455" y="1486243"/>
                <a:pt x="679450" y="1480407"/>
                <a:pt x="657225" y="1477232"/>
              </a:cubicBezTo>
              <a:lnTo>
                <a:pt x="200025" y="1486757"/>
              </a:lnTo>
              <a:cubicBezTo>
                <a:pt x="152318" y="1488271"/>
                <a:pt x="104589" y="1491011"/>
                <a:pt x="57150" y="1496282"/>
              </a:cubicBezTo>
              <a:cubicBezTo>
                <a:pt x="47171" y="1497391"/>
                <a:pt x="42862" y="1512157"/>
                <a:pt x="38100" y="1505807"/>
              </a:cubicBezTo>
              <a:close/>
            </a:path>
          </a:pathLst>
        </a:custGeom>
        <a:solidFill>
          <a:schemeClr val="bg2">
            <a:lumMod val="9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0</xdr:colOff>
      <xdr:row>10</xdr:row>
      <xdr:rowOff>9525</xdr:rowOff>
    </xdr:from>
    <xdr:to>
      <xdr:col>8</xdr:col>
      <xdr:colOff>9525</xdr:colOff>
      <xdr:row>31</xdr:row>
      <xdr:rowOff>180975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6EE502AC-926C-42F2-ABF4-1E4C7C68EB1D}"/>
            </a:ext>
          </a:extLst>
        </xdr:cNvPr>
        <xdr:cNvCxnSpPr/>
      </xdr:nvCxnSpPr>
      <xdr:spPr>
        <a:xfrm flipH="1" flipV="1">
          <a:off x="6048375" y="1914525"/>
          <a:ext cx="9525" cy="41719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32</xdr:row>
      <xdr:rowOff>0</xdr:rowOff>
    </xdr:from>
    <xdr:to>
      <xdr:col>18</xdr:col>
      <xdr:colOff>142875</xdr:colOff>
      <xdr:row>32</xdr:row>
      <xdr:rowOff>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xmlns="" id="{29B8E3B3-D302-4A61-86E7-0940259475F3}"/>
            </a:ext>
          </a:extLst>
        </xdr:cNvPr>
        <xdr:cNvCxnSpPr/>
      </xdr:nvCxnSpPr>
      <xdr:spPr>
        <a:xfrm>
          <a:off x="6048375" y="6096000"/>
          <a:ext cx="6238875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371475</xdr:colOff>
      <xdr:row>10</xdr:row>
      <xdr:rowOff>95250</xdr:rowOff>
    </xdr:from>
    <xdr:to>
      <xdr:col>13</xdr:col>
      <xdr:colOff>133350</xdr:colOff>
      <xdr:row>32</xdr:row>
      <xdr:rowOff>161925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xmlns="" id="{2376DD95-34BB-43CD-A9A8-CF38031A3F7C}"/>
            </a:ext>
          </a:extLst>
        </xdr:cNvPr>
        <xdr:cNvCxnSpPr/>
      </xdr:nvCxnSpPr>
      <xdr:spPr>
        <a:xfrm>
          <a:off x="5553075" y="2000250"/>
          <a:ext cx="3419475" cy="4257675"/>
        </a:xfrm>
        <a:prstGeom prst="line">
          <a:avLst/>
        </a:prstGeom>
        <a:ln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8</xdr:col>
      <xdr:colOff>209550</xdr:colOff>
      <xdr:row>14</xdr:row>
      <xdr:rowOff>95251</xdr:rowOff>
    </xdr:from>
    <xdr:to>
      <xdr:col>8</xdr:col>
      <xdr:colOff>361950</xdr:colOff>
      <xdr:row>15</xdr:row>
      <xdr:rowOff>142876</xdr:rowOff>
    </xdr:to>
    <xdr:sp macro="" textlink="">
      <xdr:nvSpPr>
        <xdr:cNvPr id="6" name="Arrow: Down 5">
          <a:extLst>
            <a:ext uri="{FF2B5EF4-FFF2-40B4-BE49-F238E27FC236}">
              <a16:creationId xmlns:a16="http://schemas.microsoft.com/office/drawing/2014/main" xmlns="" id="{9549E235-AB02-4F49-A56E-7478308712C4}"/>
            </a:ext>
          </a:extLst>
        </xdr:cNvPr>
        <xdr:cNvSpPr/>
      </xdr:nvSpPr>
      <xdr:spPr>
        <a:xfrm rot="2536143">
          <a:off x="6000750" y="2762251"/>
          <a:ext cx="1524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314326</xdr:colOff>
      <xdr:row>29</xdr:row>
      <xdr:rowOff>85723</xdr:rowOff>
    </xdr:from>
    <xdr:to>
      <xdr:col>14</xdr:col>
      <xdr:colOff>466726</xdr:colOff>
      <xdr:row>30</xdr:row>
      <xdr:rowOff>133348</xdr:rowOff>
    </xdr:to>
    <xdr:sp macro="" textlink="">
      <xdr:nvSpPr>
        <xdr:cNvPr id="7" name="Arrow: Down 6">
          <a:extLst>
            <a:ext uri="{FF2B5EF4-FFF2-40B4-BE49-F238E27FC236}">
              <a16:creationId xmlns:a16="http://schemas.microsoft.com/office/drawing/2014/main" xmlns="" id="{C4CA6820-7629-4CE6-AD89-89C48C9F33A2}"/>
            </a:ext>
          </a:extLst>
        </xdr:cNvPr>
        <xdr:cNvSpPr/>
      </xdr:nvSpPr>
      <xdr:spPr>
        <a:xfrm rot="1788598">
          <a:off x="9763126" y="5610223"/>
          <a:ext cx="1524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123825</xdr:colOff>
      <xdr:row>18</xdr:row>
      <xdr:rowOff>171450</xdr:rowOff>
    </xdr:from>
    <xdr:to>
      <xdr:col>17</xdr:col>
      <xdr:colOff>428625</xdr:colOff>
      <xdr:row>33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xmlns="" id="{D2182DFC-33AE-4BC2-9F17-1D23BBC38894}"/>
            </a:ext>
          </a:extLst>
        </xdr:cNvPr>
        <xdr:cNvCxnSpPr/>
      </xdr:nvCxnSpPr>
      <xdr:spPr>
        <a:xfrm>
          <a:off x="5305425" y="3600450"/>
          <a:ext cx="6400800" cy="2686050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433387</xdr:colOff>
      <xdr:row>18</xdr:row>
      <xdr:rowOff>61910</xdr:rowOff>
    </xdr:from>
    <xdr:to>
      <xdr:col>9</xdr:col>
      <xdr:colOff>61912</xdr:colOff>
      <xdr:row>19</xdr:row>
      <xdr:rowOff>23810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xmlns="" id="{E8207F13-DF53-4CFB-8301-66217598DE4B}"/>
            </a:ext>
          </a:extLst>
        </xdr:cNvPr>
        <xdr:cNvSpPr/>
      </xdr:nvSpPr>
      <xdr:spPr>
        <a:xfrm rot="2903300">
          <a:off x="6267450" y="3448047"/>
          <a:ext cx="1524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52387</xdr:colOff>
      <xdr:row>29</xdr:row>
      <xdr:rowOff>166687</xdr:rowOff>
    </xdr:from>
    <xdr:to>
      <xdr:col>12</xdr:col>
      <xdr:colOff>290512</xdr:colOff>
      <xdr:row>30</xdr:row>
      <xdr:rowOff>128587</xdr:rowOff>
    </xdr:to>
    <xdr:sp macro="" textlink="">
      <xdr:nvSpPr>
        <xdr:cNvPr id="10" name="Arrow: Down 9">
          <a:extLst>
            <a:ext uri="{FF2B5EF4-FFF2-40B4-BE49-F238E27FC236}">
              <a16:creationId xmlns:a16="http://schemas.microsoft.com/office/drawing/2014/main" xmlns="" id="{E702C9A9-3532-4A24-AA7D-3D825514F534}"/>
            </a:ext>
          </a:extLst>
        </xdr:cNvPr>
        <xdr:cNvSpPr/>
      </xdr:nvSpPr>
      <xdr:spPr>
        <a:xfrm rot="2903300">
          <a:off x="8324850" y="5648324"/>
          <a:ext cx="1524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228600</xdr:colOff>
      <xdr:row>14</xdr:row>
      <xdr:rowOff>142875</xdr:rowOff>
    </xdr:from>
    <xdr:to>
      <xdr:col>16</xdr:col>
      <xdr:colOff>295275</xdr:colOff>
      <xdr:row>32</xdr:row>
      <xdr:rowOff>180975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66D99BCD-9E5A-4ECA-81CD-555BBC166E94}"/>
            </a:ext>
          </a:extLst>
        </xdr:cNvPr>
        <xdr:cNvCxnSpPr/>
      </xdr:nvCxnSpPr>
      <xdr:spPr>
        <a:xfrm>
          <a:off x="5410200" y="2809875"/>
          <a:ext cx="5553075" cy="3467100"/>
        </a:xfrm>
        <a:prstGeom prst="line">
          <a:avLst/>
        </a:prstGeom>
        <a:ln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542926</xdr:colOff>
      <xdr:row>21</xdr:row>
      <xdr:rowOff>114300</xdr:rowOff>
    </xdr:from>
    <xdr:to>
      <xdr:col>9</xdr:col>
      <xdr:colOff>85726</xdr:colOff>
      <xdr:row>22</xdr:row>
      <xdr:rowOff>161925</xdr:rowOff>
    </xdr:to>
    <xdr:sp macro="" textlink="">
      <xdr:nvSpPr>
        <xdr:cNvPr id="12" name="Arrow: Down 11">
          <a:extLst>
            <a:ext uri="{FF2B5EF4-FFF2-40B4-BE49-F238E27FC236}">
              <a16:creationId xmlns:a16="http://schemas.microsoft.com/office/drawing/2014/main" xmlns="" id="{B3EEA5EB-9F3A-4BF9-B27D-7E2D5169E40D}"/>
            </a:ext>
          </a:extLst>
        </xdr:cNvPr>
        <xdr:cNvSpPr/>
      </xdr:nvSpPr>
      <xdr:spPr>
        <a:xfrm rot="1788598">
          <a:off x="6334126" y="4114800"/>
          <a:ext cx="152400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431294</xdr:colOff>
      <xdr:row>30</xdr:row>
      <xdr:rowOff>125907</xdr:rowOff>
    </xdr:from>
    <xdr:to>
      <xdr:col>16</xdr:col>
      <xdr:colOff>5379</xdr:colOff>
      <xdr:row>31</xdr:row>
      <xdr:rowOff>77628</xdr:rowOff>
    </xdr:to>
    <xdr:sp macro="" textlink="">
      <xdr:nvSpPr>
        <xdr:cNvPr id="13" name="Arrow: Down 12">
          <a:extLst>
            <a:ext uri="{FF2B5EF4-FFF2-40B4-BE49-F238E27FC236}">
              <a16:creationId xmlns:a16="http://schemas.microsoft.com/office/drawing/2014/main" xmlns="" id="{305318C1-6E52-45EC-83CB-4377B36C5B3D}"/>
            </a:ext>
          </a:extLst>
        </xdr:cNvPr>
        <xdr:cNvSpPr/>
      </xdr:nvSpPr>
      <xdr:spPr>
        <a:xfrm rot="1788598">
          <a:off x="10489694" y="5840907"/>
          <a:ext cx="183685" cy="14222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0</xdr:colOff>
      <xdr:row>12</xdr:row>
      <xdr:rowOff>104775</xdr:rowOff>
    </xdr:from>
    <xdr:to>
      <xdr:col>12</xdr:col>
      <xdr:colOff>0</xdr:colOff>
      <xdr:row>33</xdr:row>
      <xdr:rowOff>142875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xmlns="" id="{0972363B-843E-426C-9797-0B03EF5E708B}"/>
            </a:ext>
          </a:extLst>
        </xdr:cNvPr>
        <xdr:cNvCxnSpPr/>
      </xdr:nvCxnSpPr>
      <xdr:spPr>
        <a:xfrm>
          <a:off x="8229600" y="2390775"/>
          <a:ext cx="0" cy="4038600"/>
        </a:xfrm>
        <a:prstGeom prst="line">
          <a:avLst/>
        </a:prstGeom>
        <a:ln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357572</xdr:colOff>
      <xdr:row>30</xdr:row>
      <xdr:rowOff>41372</xdr:rowOff>
    </xdr:from>
    <xdr:to>
      <xdr:col>11</xdr:col>
      <xdr:colOff>595697</xdr:colOff>
      <xdr:row>31</xdr:row>
      <xdr:rowOff>59484</xdr:rowOff>
    </xdr:to>
    <xdr:sp macro="" textlink="">
      <xdr:nvSpPr>
        <xdr:cNvPr id="15" name="Arrow: Down 14">
          <a:extLst>
            <a:ext uri="{FF2B5EF4-FFF2-40B4-BE49-F238E27FC236}">
              <a16:creationId xmlns:a16="http://schemas.microsoft.com/office/drawing/2014/main" xmlns="" id="{B632B591-7EAD-411A-A65C-AA7CD2776061}"/>
            </a:ext>
          </a:extLst>
        </xdr:cNvPr>
        <xdr:cNvSpPr/>
      </xdr:nvSpPr>
      <xdr:spPr>
        <a:xfrm rot="5400000">
          <a:off x="7992329" y="5741615"/>
          <a:ext cx="20861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16</xdr:col>
      <xdr:colOff>257175</xdr:colOff>
      <xdr:row>28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xmlns="" id="{87573C77-5940-492C-B978-80DF2CDC0B36}"/>
            </a:ext>
          </a:extLst>
        </xdr:cNvPr>
        <xdr:cNvCxnSpPr/>
      </xdr:nvCxnSpPr>
      <xdr:spPr>
        <a:xfrm flipH="1">
          <a:off x="5800725" y="5334000"/>
          <a:ext cx="5124450" cy="0"/>
        </a:xfrm>
        <a:prstGeom prst="line">
          <a:avLst/>
        </a:prstGeom>
        <a:ln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200879</xdr:colOff>
      <xdr:row>30</xdr:row>
      <xdr:rowOff>150436</xdr:rowOff>
    </xdr:from>
    <xdr:to>
      <xdr:col>9</xdr:col>
      <xdr:colOff>409491</xdr:colOff>
      <xdr:row>32</xdr:row>
      <xdr:rowOff>7561</xdr:rowOff>
    </xdr:to>
    <xdr:sp macro="" textlink="">
      <xdr:nvSpPr>
        <xdr:cNvPr id="17" name="Arrow: Down 16">
          <a:extLst>
            <a:ext uri="{FF2B5EF4-FFF2-40B4-BE49-F238E27FC236}">
              <a16:creationId xmlns:a16="http://schemas.microsoft.com/office/drawing/2014/main" xmlns="" id="{1D800283-8035-499A-94A6-27CD418A8347}"/>
            </a:ext>
          </a:extLst>
        </xdr:cNvPr>
        <xdr:cNvSpPr/>
      </xdr:nvSpPr>
      <xdr:spPr>
        <a:xfrm rot="10800000">
          <a:off x="6601679" y="5865436"/>
          <a:ext cx="20861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24197</xdr:colOff>
      <xdr:row>29</xdr:row>
      <xdr:rowOff>69944</xdr:rowOff>
    </xdr:from>
    <xdr:to>
      <xdr:col>8</xdr:col>
      <xdr:colOff>262322</xdr:colOff>
      <xdr:row>30</xdr:row>
      <xdr:rowOff>88056</xdr:rowOff>
    </xdr:to>
    <xdr:sp macro="" textlink="">
      <xdr:nvSpPr>
        <xdr:cNvPr id="18" name="Arrow: Down 17">
          <a:extLst>
            <a:ext uri="{FF2B5EF4-FFF2-40B4-BE49-F238E27FC236}">
              <a16:creationId xmlns:a16="http://schemas.microsoft.com/office/drawing/2014/main" xmlns="" id="{7B6FBDD9-1EAA-4979-B944-BF81162F5BEB}"/>
            </a:ext>
          </a:extLst>
        </xdr:cNvPr>
        <xdr:cNvSpPr/>
      </xdr:nvSpPr>
      <xdr:spPr>
        <a:xfrm rot="16200000">
          <a:off x="5830154" y="5579687"/>
          <a:ext cx="20861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67530</xdr:colOff>
      <xdr:row>26</xdr:row>
      <xdr:rowOff>140912</xdr:rowOff>
    </xdr:from>
    <xdr:to>
      <xdr:col>10</xdr:col>
      <xdr:colOff>276142</xdr:colOff>
      <xdr:row>27</xdr:row>
      <xdr:rowOff>188537</xdr:rowOff>
    </xdr:to>
    <xdr:sp macro="" textlink="">
      <xdr:nvSpPr>
        <xdr:cNvPr id="19" name="Arrow: Down 18">
          <a:extLst>
            <a:ext uri="{FF2B5EF4-FFF2-40B4-BE49-F238E27FC236}">
              <a16:creationId xmlns:a16="http://schemas.microsoft.com/office/drawing/2014/main" xmlns="" id="{C69C909C-ACE0-42CD-AE6F-4FE030E5F8B4}"/>
            </a:ext>
          </a:extLst>
        </xdr:cNvPr>
        <xdr:cNvSpPr/>
      </xdr:nvSpPr>
      <xdr:spPr>
        <a:xfrm rot="10800000">
          <a:off x="7077930" y="5093912"/>
          <a:ext cx="208612" cy="238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542925</xdr:colOff>
      <xdr:row>19</xdr:row>
      <xdr:rowOff>114300</xdr:rowOff>
    </xdr:from>
    <xdr:to>
      <xdr:col>8</xdr:col>
      <xdr:colOff>76200</xdr:colOff>
      <xdr:row>20</xdr:row>
      <xdr:rowOff>66675</xdr:rowOff>
    </xdr:to>
    <xdr:sp macro="" textlink="">
      <xdr:nvSpPr>
        <xdr:cNvPr id="20" name="Flowchart: Connector 19">
          <a:extLst>
            <a:ext uri="{FF2B5EF4-FFF2-40B4-BE49-F238E27FC236}">
              <a16:creationId xmlns:a16="http://schemas.microsoft.com/office/drawing/2014/main" xmlns="" id="{0B430934-FCC1-4BFB-817D-2183047D1573}"/>
            </a:ext>
          </a:extLst>
        </xdr:cNvPr>
        <xdr:cNvSpPr/>
      </xdr:nvSpPr>
      <xdr:spPr>
        <a:xfrm>
          <a:off x="5724525" y="3733800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514350</xdr:colOff>
      <xdr:row>27</xdr:row>
      <xdr:rowOff>104775</xdr:rowOff>
    </xdr:from>
    <xdr:to>
      <xdr:col>12</xdr:col>
      <xdr:colOff>47625</xdr:colOff>
      <xdr:row>28</xdr:row>
      <xdr:rowOff>57150</xdr:rowOff>
    </xdr:to>
    <xdr:sp macro="" textlink="">
      <xdr:nvSpPr>
        <xdr:cNvPr id="21" name="Flowchart: Connector 20">
          <a:extLst>
            <a:ext uri="{FF2B5EF4-FFF2-40B4-BE49-F238E27FC236}">
              <a16:creationId xmlns:a16="http://schemas.microsoft.com/office/drawing/2014/main" xmlns="" id="{FFFD1A4B-A29D-4246-A943-BA3AF3B04876}"/>
            </a:ext>
          </a:extLst>
        </xdr:cNvPr>
        <xdr:cNvSpPr/>
      </xdr:nvSpPr>
      <xdr:spPr>
        <a:xfrm>
          <a:off x="8134350" y="5248275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495300</xdr:colOff>
      <xdr:row>23</xdr:row>
      <xdr:rowOff>114300</xdr:rowOff>
    </xdr:from>
    <xdr:to>
      <xdr:col>11</xdr:col>
      <xdr:colOff>28575</xdr:colOff>
      <xdr:row>24</xdr:row>
      <xdr:rowOff>66675</xdr:rowOff>
    </xdr:to>
    <xdr:sp macro="" textlink="">
      <xdr:nvSpPr>
        <xdr:cNvPr id="22" name="Flowchart: Connector 21">
          <a:extLst>
            <a:ext uri="{FF2B5EF4-FFF2-40B4-BE49-F238E27FC236}">
              <a16:creationId xmlns:a16="http://schemas.microsoft.com/office/drawing/2014/main" xmlns="" id="{09C122DA-8411-4318-9526-701E140E3508}"/>
            </a:ext>
          </a:extLst>
        </xdr:cNvPr>
        <xdr:cNvSpPr/>
      </xdr:nvSpPr>
      <xdr:spPr>
        <a:xfrm>
          <a:off x="7505700" y="4495800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523875</xdr:colOff>
      <xdr:row>27</xdr:row>
      <xdr:rowOff>104775</xdr:rowOff>
    </xdr:from>
    <xdr:to>
      <xdr:col>8</xdr:col>
      <xdr:colOff>57150</xdr:colOff>
      <xdr:row>28</xdr:row>
      <xdr:rowOff>57150</xdr:rowOff>
    </xdr:to>
    <xdr:sp macro="" textlink="">
      <xdr:nvSpPr>
        <xdr:cNvPr id="23" name="Flowchart: Connector 22">
          <a:extLst>
            <a:ext uri="{FF2B5EF4-FFF2-40B4-BE49-F238E27FC236}">
              <a16:creationId xmlns:a16="http://schemas.microsoft.com/office/drawing/2014/main" xmlns="" id="{7504910B-B851-411B-933C-80ECDEA0D4A6}"/>
            </a:ext>
          </a:extLst>
        </xdr:cNvPr>
        <xdr:cNvSpPr/>
      </xdr:nvSpPr>
      <xdr:spPr>
        <a:xfrm>
          <a:off x="5705475" y="5248275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19</xdr:col>
      <xdr:colOff>9521</xdr:colOff>
      <xdr:row>19</xdr:row>
      <xdr:rowOff>95250</xdr:rowOff>
    </xdr:to>
    <xdr:sp macro="" textlink="">
      <xdr:nvSpPr>
        <xdr:cNvPr id="24" name="Rectangle 23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47625</xdr:rowOff>
    </xdr:from>
    <xdr:to>
      <xdr:col>9</xdr:col>
      <xdr:colOff>19050</xdr:colOff>
      <xdr:row>26</xdr:row>
      <xdr:rowOff>19050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7617D56B-9EB3-4EF8-98A5-39E221056E06}"/>
            </a:ext>
          </a:extLst>
        </xdr:cNvPr>
        <xdr:cNvCxnSpPr/>
      </xdr:nvCxnSpPr>
      <xdr:spPr>
        <a:xfrm flipH="1" flipV="1">
          <a:off x="6743700" y="1571625"/>
          <a:ext cx="19050" cy="340042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9525</xdr:colOff>
      <xdr:row>25</xdr:row>
      <xdr:rowOff>180975</xdr:rowOff>
    </xdr:from>
    <xdr:to>
      <xdr:col>19</xdr:col>
      <xdr:colOff>276225</xdr:colOff>
      <xdr:row>26</xdr:row>
      <xdr:rowOff>9525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xmlns="" id="{7124066C-2803-40AF-81E2-DE8F485FCC9D}"/>
            </a:ext>
          </a:extLst>
        </xdr:cNvPr>
        <xdr:cNvCxnSpPr/>
      </xdr:nvCxnSpPr>
      <xdr:spPr>
        <a:xfrm flipV="1">
          <a:off x="6753225" y="4943475"/>
          <a:ext cx="6362700" cy="1905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314325</xdr:colOff>
      <xdr:row>15</xdr:row>
      <xdr:rowOff>57150</xdr:rowOff>
    </xdr:from>
    <xdr:to>
      <xdr:col>17</xdr:col>
      <xdr:colOff>342900</xdr:colOff>
      <xdr:row>26</xdr:row>
      <xdr:rowOff>133350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53F8E40E-0704-4476-ABC8-B1E31230F05B}"/>
            </a:ext>
          </a:extLst>
        </xdr:cNvPr>
        <xdr:cNvCxnSpPr/>
      </xdr:nvCxnSpPr>
      <xdr:spPr>
        <a:xfrm>
          <a:off x="5505450" y="2914650"/>
          <a:ext cx="5514975" cy="2171700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280787</xdr:colOff>
      <xdr:row>15</xdr:row>
      <xdr:rowOff>14542</xdr:rowOff>
    </xdr:from>
    <xdr:to>
      <xdr:col>9</xdr:col>
      <xdr:colOff>553584</xdr:colOff>
      <xdr:row>16</xdr:row>
      <xdr:rowOff>107154</xdr:rowOff>
    </xdr:to>
    <xdr:sp macro="" textlink="">
      <xdr:nvSpPr>
        <xdr:cNvPr id="17" name="Arrow: Down 16">
          <a:extLst>
            <a:ext uri="{FF2B5EF4-FFF2-40B4-BE49-F238E27FC236}">
              <a16:creationId xmlns:a16="http://schemas.microsoft.com/office/drawing/2014/main" xmlns="" id="{7EB16442-E919-4F1E-A013-5CB7592EDC6B}"/>
            </a:ext>
          </a:extLst>
        </xdr:cNvPr>
        <xdr:cNvSpPr/>
      </xdr:nvSpPr>
      <xdr:spPr>
        <a:xfrm rot="12377833">
          <a:off x="6081512" y="2872042"/>
          <a:ext cx="272797" cy="2831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414191</xdr:colOff>
      <xdr:row>25</xdr:row>
      <xdr:rowOff>22333</xdr:rowOff>
    </xdr:from>
    <xdr:to>
      <xdr:col>17</xdr:col>
      <xdr:colOff>77388</xdr:colOff>
      <xdr:row>25</xdr:row>
      <xdr:rowOff>176691</xdr:rowOff>
    </xdr:to>
    <xdr:sp macro="" textlink="">
      <xdr:nvSpPr>
        <xdr:cNvPr id="18" name="Arrow: Down 17">
          <a:extLst>
            <a:ext uri="{FF2B5EF4-FFF2-40B4-BE49-F238E27FC236}">
              <a16:creationId xmlns:a16="http://schemas.microsoft.com/office/drawing/2014/main" xmlns="" id="{2299A3F6-65B0-4190-9088-BA1B18552229}"/>
            </a:ext>
          </a:extLst>
        </xdr:cNvPr>
        <xdr:cNvSpPr/>
      </xdr:nvSpPr>
      <xdr:spPr>
        <a:xfrm rot="12377833">
          <a:off x="10482116" y="4784833"/>
          <a:ext cx="272797" cy="1543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504825</xdr:colOff>
      <xdr:row>10</xdr:row>
      <xdr:rowOff>66675</xdr:rowOff>
    </xdr:from>
    <xdr:to>
      <xdr:col>13</xdr:col>
      <xdr:colOff>95250</xdr:colOff>
      <xdr:row>26</xdr:row>
      <xdr:rowOff>142875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xmlns="" id="{B72AE160-365C-4794-BDC5-9A6A02C981AF}"/>
            </a:ext>
          </a:extLst>
        </xdr:cNvPr>
        <xdr:cNvCxnSpPr/>
      </xdr:nvCxnSpPr>
      <xdr:spPr>
        <a:xfrm>
          <a:off x="5695950" y="1971675"/>
          <a:ext cx="2638425" cy="3124200"/>
        </a:xfrm>
        <a:prstGeom prst="line">
          <a:avLst/>
        </a:prstGeom>
        <a:ln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580429</xdr:colOff>
      <xdr:row>13</xdr:row>
      <xdr:rowOff>86375</xdr:rowOff>
    </xdr:from>
    <xdr:to>
      <xdr:col>10</xdr:col>
      <xdr:colOff>253941</xdr:colOff>
      <xdr:row>14</xdr:row>
      <xdr:rowOff>168672</xdr:rowOff>
    </xdr:to>
    <xdr:sp macro="" textlink="">
      <xdr:nvSpPr>
        <xdr:cNvPr id="27" name="Arrow: Down 26">
          <a:extLst>
            <a:ext uri="{FF2B5EF4-FFF2-40B4-BE49-F238E27FC236}">
              <a16:creationId xmlns:a16="http://schemas.microsoft.com/office/drawing/2014/main" xmlns="" id="{6BE8FC2B-17E4-4E14-A757-F2E3CF154917}"/>
            </a:ext>
          </a:extLst>
        </xdr:cNvPr>
        <xdr:cNvSpPr/>
      </xdr:nvSpPr>
      <xdr:spPr>
        <a:xfrm rot="13983793">
          <a:off x="6386311" y="2557718"/>
          <a:ext cx="272797" cy="2831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189905</xdr:colOff>
      <xdr:row>22</xdr:row>
      <xdr:rowOff>76850</xdr:rowOff>
    </xdr:from>
    <xdr:to>
      <xdr:col>12</xdr:col>
      <xdr:colOff>473017</xdr:colOff>
      <xdr:row>23</xdr:row>
      <xdr:rowOff>159147</xdr:rowOff>
    </xdr:to>
    <xdr:sp macro="" textlink="">
      <xdr:nvSpPr>
        <xdr:cNvPr id="28" name="Arrow: Down 27">
          <a:extLst>
            <a:ext uri="{FF2B5EF4-FFF2-40B4-BE49-F238E27FC236}">
              <a16:creationId xmlns:a16="http://schemas.microsoft.com/office/drawing/2014/main" xmlns="" id="{4F3C76BE-C72C-40BF-B26D-0B26163CD380}"/>
            </a:ext>
          </a:extLst>
        </xdr:cNvPr>
        <xdr:cNvSpPr/>
      </xdr:nvSpPr>
      <xdr:spPr>
        <a:xfrm rot="13983793">
          <a:off x="7824587" y="4262693"/>
          <a:ext cx="272797" cy="2831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400050</xdr:colOff>
      <xdr:row>9</xdr:row>
      <xdr:rowOff>28575</xdr:rowOff>
    </xdr:from>
    <xdr:to>
      <xdr:col>15</xdr:col>
      <xdr:colOff>447675</xdr:colOff>
      <xdr:row>26</xdr:row>
      <xdr:rowOff>104775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xmlns="" id="{3CF8A100-B4AE-4CD1-983E-094F920FB97F}"/>
            </a:ext>
          </a:extLst>
        </xdr:cNvPr>
        <xdr:cNvCxnSpPr/>
      </xdr:nvCxnSpPr>
      <xdr:spPr>
        <a:xfrm>
          <a:off x="5591175" y="1743075"/>
          <a:ext cx="4314825" cy="3314700"/>
        </a:xfrm>
        <a:prstGeom prst="line">
          <a:avLst/>
        </a:prstGeom>
        <a:ln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9</xdr:col>
      <xdr:colOff>290311</xdr:colOff>
      <xdr:row>9</xdr:row>
      <xdr:rowOff>176468</xdr:rowOff>
    </xdr:from>
    <xdr:to>
      <xdr:col>9</xdr:col>
      <xdr:colOff>563108</xdr:colOff>
      <xdr:row>11</xdr:row>
      <xdr:rowOff>78580</xdr:rowOff>
    </xdr:to>
    <xdr:sp macro="" textlink="">
      <xdr:nvSpPr>
        <xdr:cNvPr id="32" name="Arrow: Down 31">
          <a:extLst>
            <a:ext uri="{FF2B5EF4-FFF2-40B4-BE49-F238E27FC236}">
              <a16:creationId xmlns:a16="http://schemas.microsoft.com/office/drawing/2014/main" xmlns="" id="{E182F8A6-EBBD-4E82-BCB0-46797456A1EA}"/>
            </a:ext>
          </a:extLst>
        </xdr:cNvPr>
        <xdr:cNvSpPr/>
      </xdr:nvSpPr>
      <xdr:spPr>
        <a:xfrm rot="13020669">
          <a:off x="6091036" y="1890968"/>
          <a:ext cx="272797" cy="2831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15</xdr:col>
      <xdr:colOff>147436</xdr:colOff>
      <xdr:row>24</xdr:row>
      <xdr:rowOff>14543</xdr:rowOff>
    </xdr:from>
    <xdr:to>
      <xdr:col>15</xdr:col>
      <xdr:colOff>420233</xdr:colOff>
      <xdr:row>25</xdr:row>
      <xdr:rowOff>107155</xdr:rowOff>
    </xdr:to>
    <xdr:sp macro="" textlink="">
      <xdr:nvSpPr>
        <xdr:cNvPr id="34" name="Arrow: Down 33">
          <a:extLst>
            <a:ext uri="{FF2B5EF4-FFF2-40B4-BE49-F238E27FC236}">
              <a16:creationId xmlns:a16="http://schemas.microsoft.com/office/drawing/2014/main" xmlns="" id="{C26491B1-F59B-41FA-9F47-8D8F89330DFE}"/>
            </a:ext>
          </a:extLst>
        </xdr:cNvPr>
        <xdr:cNvSpPr/>
      </xdr:nvSpPr>
      <xdr:spPr>
        <a:xfrm rot="13080959">
          <a:off x="9605761" y="4586543"/>
          <a:ext cx="272797" cy="2831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285750</xdr:colOff>
      <xdr:row>19</xdr:row>
      <xdr:rowOff>85725</xdr:rowOff>
    </xdr:from>
    <xdr:to>
      <xdr:col>19</xdr:col>
      <xdr:colOff>219075</xdr:colOff>
      <xdr:row>26</xdr:row>
      <xdr:rowOff>38100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xmlns="" id="{2A363344-5877-44AE-BBB0-AF9DE32B2E65}"/>
            </a:ext>
          </a:extLst>
        </xdr:cNvPr>
        <xdr:cNvCxnSpPr/>
      </xdr:nvCxnSpPr>
      <xdr:spPr>
        <a:xfrm>
          <a:off x="5476875" y="3705225"/>
          <a:ext cx="6638925" cy="1285875"/>
        </a:xfrm>
        <a:prstGeom prst="line">
          <a:avLst/>
        </a:prstGeom>
        <a:ln/>
      </xdr:spPr>
      <xdr:style>
        <a:lnRef idx="1">
          <a:schemeClr val="accent5"/>
        </a:lnRef>
        <a:fillRef idx="0">
          <a:schemeClr val="accent5"/>
        </a:fillRef>
        <a:effectRef idx="0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128386</xdr:colOff>
      <xdr:row>23</xdr:row>
      <xdr:rowOff>81218</xdr:rowOff>
    </xdr:from>
    <xdr:to>
      <xdr:col>17</xdr:col>
      <xdr:colOff>401183</xdr:colOff>
      <xdr:row>24</xdr:row>
      <xdr:rowOff>173830</xdr:rowOff>
    </xdr:to>
    <xdr:sp macro="" textlink="">
      <xdr:nvSpPr>
        <xdr:cNvPr id="38" name="Arrow: Down 37">
          <a:extLst>
            <a:ext uri="{FF2B5EF4-FFF2-40B4-BE49-F238E27FC236}">
              <a16:creationId xmlns:a16="http://schemas.microsoft.com/office/drawing/2014/main" xmlns="" id="{E6DC3287-EBE4-4B5D-9D28-D7D8B18366B1}"/>
            </a:ext>
          </a:extLst>
        </xdr:cNvPr>
        <xdr:cNvSpPr/>
      </xdr:nvSpPr>
      <xdr:spPr>
        <a:xfrm rot="11813193">
          <a:off x="10805911" y="4462718"/>
          <a:ext cx="272797" cy="2831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566536</xdr:colOff>
      <xdr:row>18</xdr:row>
      <xdr:rowOff>176468</xdr:rowOff>
    </xdr:from>
    <xdr:to>
      <xdr:col>10</xdr:col>
      <xdr:colOff>229733</xdr:colOff>
      <xdr:row>20</xdr:row>
      <xdr:rowOff>78580</xdr:rowOff>
    </xdr:to>
    <xdr:sp macro="" textlink="">
      <xdr:nvSpPr>
        <xdr:cNvPr id="39" name="Arrow: Down 38">
          <a:extLst>
            <a:ext uri="{FF2B5EF4-FFF2-40B4-BE49-F238E27FC236}">
              <a16:creationId xmlns:a16="http://schemas.microsoft.com/office/drawing/2014/main" xmlns="" id="{98E4D798-D9F2-46BA-B63C-18D41AFCCD83}"/>
            </a:ext>
          </a:extLst>
        </xdr:cNvPr>
        <xdr:cNvSpPr/>
      </xdr:nvSpPr>
      <xdr:spPr>
        <a:xfrm rot="11525160">
          <a:off x="6367261" y="3605468"/>
          <a:ext cx="272797" cy="2831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533400</xdr:colOff>
      <xdr:row>9</xdr:row>
      <xdr:rowOff>104775</xdr:rowOff>
    </xdr:from>
    <xdr:to>
      <xdr:col>9</xdr:col>
      <xdr:colOff>66675</xdr:colOff>
      <xdr:row>10</xdr:row>
      <xdr:rowOff>57150</xdr:rowOff>
    </xdr:to>
    <xdr:sp macro="" textlink="">
      <xdr:nvSpPr>
        <xdr:cNvPr id="40" name="Flowchart: Connector 39">
          <a:extLst>
            <a:ext uri="{FF2B5EF4-FFF2-40B4-BE49-F238E27FC236}">
              <a16:creationId xmlns:a16="http://schemas.microsoft.com/office/drawing/2014/main" xmlns="" id="{6DD95DA3-25B0-44EE-A6F1-172C48AD5A62}"/>
            </a:ext>
          </a:extLst>
        </xdr:cNvPr>
        <xdr:cNvSpPr/>
      </xdr:nvSpPr>
      <xdr:spPr>
        <a:xfrm>
          <a:off x="5724525" y="1819275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466725</xdr:colOff>
      <xdr:row>21</xdr:row>
      <xdr:rowOff>133350</xdr:rowOff>
    </xdr:from>
    <xdr:to>
      <xdr:col>14</xdr:col>
      <xdr:colOff>0</xdr:colOff>
      <xdr:row>22</xdr:row>
      <xdr:rowOff>85725</xdr:rowOff>
    </xdr:to>
    <xdr:sp macro="" textlink="">
      <xdr:nvSpPr>
        <xdr:cNvPr id="42" name="Flowchart: Connector 41">
          <a:extLst>
            <a:ext uri="{FF2B5EF4-FFF2-40B4-BE49-F238E27FC236}">
              <a16:creationId xmlns:a16="http://schemas.microsoft.com/office/drawing/2014/main" xmlns="" id="{70725B0C-A1E9-4234-B002-1E700CDEEAD2}"/>
            </a:ext>
          </a:extLst>
        </xdr:cNvPr>
        <xdr:cNvSpPr/>
      </xdr:nvSpPr>
      <xdr:spPr>
        <a:xfrm>
          <a:off x="8705850" y="4133850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571500</xdr:colOff>
      <xdr:row>23</xdr:row>
      <xdr:rowOff>9525</xdr:rowOff>
    </xdr:from>
    <xdr:to>
      <xdr:col>15</xdr:col>
      <xdr:colOff>104775</xdr:colOff>
      <xdr:row>23</xdr:row>
      <xdr:rowOff>152400</xdr:rowOff>
    </xdr:to>
    <xdr:sp macro="" textlink="">
      <xdr:nvSpPr>
        <xdr:cNvPr id="43" name="Flowchart: Connector 42">
          <a:extLst>
            <a:ext uri="{FF2B5EF4-FFF2-40B4-BE49-F238E27FC236}">
              <a16:creationId xmlns:a16="http://schemas.microsoft.com/office/drawing/2014/main" xmlns="" id="{8ABDDE06-BAE4-4D86-81B4-8588F3C60491}"/>
            </a:ext>
          </a:extLst>
        </xdr:cNvPr>
        <xdr:cNvSpPr/>
      </xdr:nvSpPr>
      <xdr:spPr>
        <a:xfrm>
          <a:off x="9420225" y="4391025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18</xdr:col>
      <xdr:colOff>523875</xdr:colOff>
      <xdr:row>25</xdr:row>
      <xdr:rowOff>104775</xdr:rowOff>
    </xdr:from>
    <xdr:to>
      <xdr:col>19</xdr:col>
      <xdr:colOff>57150</xdr:colOff>
      <xdr:row>26</xdr:row>
      <xdr:rowOff>57150</xdr:rowOff>
    </xdr:to>
    <xdr:sp macro="" textlink="">
      <xdr:nvSpPr>
        <xdr:cNvPr id="44" name="Flowchart: Connector 43">
          <a:extLst>
            <a:ext uri="{FF2B5EF4-FFF2-40B4-BE49-F238E27FC236}">
              <a16:creationId xmlns:a16="http://schemas.microsoft.com/office/drawing/2014/main" xmlns="" id="{6926C5AF-6373-4760-9620-A5CA6DC0175C}"/>
            </a:ext>
          </a:extLst>
        </xdr:cNvPr>
        <xdr:cNvSpPr/>
      </xdr:nvSpPr>
      <xdr:spPr>
        <a:xfrm>
          <a:off x="11811000" y="4867275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171450</xdr:colOff>
      <xdr:row>10</xdr:row>
      <xdr:rowOff>9525</xdr:rowOff>
    </xdr:from>
    <xdr:to>
      <xdr:col>11</xdr:col>
      <xdr:colOff>390525</xdr:colOff>
      <xdr:row>12</xdr:row>
      <xdr:rowOff>152400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xmlns="" id="{2E4D2FBF-FE6E-CA4B-00A2-35ABDC265843}"/>
            </a:ext>
          </a:extLst>
        </xdr:cNvPr>
        <xdr:cNvCxnSpPr/>
      </xdr:nvCxnSpPr>
      <xdr:spPr>
        <a:xfrm flipV="1">
          <a:off x="6581775" y="19145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409575</xdr:colOff>
      <xdr:row>10</xdr:row>
      <xdr:rowOff>123825</xdr:rowOff>
    </xdr:from>
    <xdr:to>
      <xdr:col>12</xdr:col>
      <xdr:colOff>19050</xdr:colOff>
      <xdr:row>13</xdr:row>
      <xdr:rowOff>76200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xmlns="" id="{CE946D23-A9B0-4CBB-898A-E255376019EA}"/>
            </a:ext>
          </a:extLst>
        </xdr:cNvPr>
        <xdr:cNvCxnSpPr/>
      </xdr:nvCxnSpPr>
      <xdr:spPr>
        <a:xfrm flipV="1">
          <a:off x="6819900" y="20288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561975</xdr:colOff>
      <xdr:row>11</xdr:row>
      <xdr:rowOff>85725</xdr:rowOff>
    </xdr:from>
    <xdr:to>
      <xdr:col>12</xdr:col>
      <xdr:colOff>171450</xdr:colOff>
      <xdr:row>14</xdr:row>
      <xdr:rowOff>38100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xmlns="" id="{8DD13E95-19A7-4AD2-945B-C9CABB928EB4}"/>
            </a:ext>
          </a:extLst>
        </xdr:cNvPr>
        <xdr:cNvCxnSpPr/>
      </xdr:nvCxnSpPr>
      <xdr:spPr>
        <a:xfrm flipV="1">
          <a:off x="6972300" y="21812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104775</xdr:colOff>
      <xdr:row>12</xdr:row>
      <xdr:rowOff>47625</xdr:rowOff>
    </xdr:from>
    <xdr:to>
      <xdr:col>12</xdr:col>
      <xdr:colOff>323850</xdr:colOff>
      <xdr:row>15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xmlns="" id="{D48A4F49-D4B3-4496-AD8F-B9AA47C5BEB7}"/>
            </a:ext>
          </a:extLst>
        </xdr:cNvPr>
        <xdr:cNvCxnSpPr/>
      </xdr:nvCxnSpPr>
      <xdr:spPr>
        <a:xfrm flipV="1">
          <a:off x="7124700" y="23336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257175</xdr:colOff>
      <xdr:row>13</xdr:row>
      <xdr:rowOff>9525</xdr:rowOff>
    </xdr:from>
    <xdr:to>
      <xdr:col>12</xdr:col>
      <xdr:colOff>476250</xdr:colOff>
      <xdr:row>15</xdr:row>
      <xdr:rowOff>152400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xmlns="" id="{9202332B-D3AA-470C-A140-B9C463E8636C}"/>
            </a:ext>
          </a:extLst>
        </xdr:cNvPr>
        <xdr:cNvCxnSpPr/>
      </xdr:nvCxnSpPr>
      <xdr:spPr>
        <a:xfrm flipV="1">
          <a:off x="7277100" y="24860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409575</xdr:colOff>
      <xdr:row>13</xdr:row>
      <xdr:rowOff>161925</xdr:rowOff>
    </xdr:from>
    <xdr:to>
      <xdr:col>13</xdr:col>
      <xdr:colOff>19050</xdr:colOff>
      <xdr:row>16</xdr:row>
      <xdr:rowOff>114300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xmlns="" id="{99ACCF27-2C50-4F47-985A-7E94713941F7}"/>
            </a:ext>
          </a:extLst>
        </xdr:cNvPr>
        <xdr:cNvCxnSpPr/>
      </xdr:nvCxnSpPr>
      <xdr:spPr>
        <a:xfrm flipV="1">
          <a:off x="7429500" y="26384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600075</xdr:colOff>
      <xdr:row>14</xdr:row>
      <xdr:rowOff>95250</xdr:rowOff>
    </xdr:from>
    <xdr:to>
      <xdr:col>13</xdr:col>
      <xdr:colOff>209550</xdr:colOff>
      <xdr:row>17</xdr:row>
      <xdr:rowOff>47625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xmlns="" id="{E73A36F7-3E62-4907-AE4B-5726CFD9B847}"/>
            </a:ext>
          </a:extLst>
        </xdr:cNvPr>
        <xdr:cNvCxnSpPr/>
      </xdr:nvCxnSpPr>
      <xdr:spPr>
        <a:xfrm flipV="1">
          <a:off x="7620000" y="27622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161925</xdr:colOff>
      <xdr:row>15</xdr:row>
      <xdr:rowOff>38100</xdr:rowOff>
    </xdr:from>
    <xdr:to>
      <xdr:col>13</xdr:col>
      <xdr:colOff>381000</xdr:colOff>
      <xdr:row>17</xdr:row>
      <xdr:rowOff>180975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xmlns="" id="{E6CFBF0F-623E-4D58-98B0-DAE4A925260F}"/>
            </a:ext>
          </a:extLst>
        </xdr:cNvPr>
        <xdr:cNvCxnSpPr/>
      </xdr:nvCxnSpPr>
      <xdr:spPr>
        <a:xfrm flipV="1">
          <a:off x="7791450" y="289560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333375</xdr:colOff>
      <xdr:row>15</xdr:row>
      <xdr:rowOff>161925</xdr:rowOff>
    </xdr:from>
    <xdr:to>
      <xdr:col>13</xdr:col>
      <xdr:colOff>552450</xdr:colOff>
      <xdr:row>18</xdr:row>
      <xdr:rowOff>114300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xmlns="" id="{361EF149-9344-441F-ACC1-9450C3948649}"/>
            </a:ext>
          </a:extLst>
        </xdr:cNvPr>
        <xdr:cNvCxnSpPr/>
      </xdr:nvCxnSpPr>
      <xdr:spPr>
        <a:xfrm flipV="1">
          <a:off x="7962900" y="30194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16</xdr:row>
      <xdr:rowOff>95250</xdr:rowOff>
    </xdr:from>
    <xdr:to>
      <xdr:col>14</xdr:col>
      <xdr:colOff>133350</xdr:colOff>
      <xdr:row>19</xdr:row>
      <xdr:rowOff>47625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xmlns="" id="{E57A36F1-52E6-46AC-9446-ADC11653F608}"/>
            </a:ext>
          </a:extLst>
        </xdr:cNvPr>
        <xdr:cNvCxnSpPr/>
      </xdr:nvCxnSpPr>
      <xdr:spPr>
        <a:xfrm flipV="1">
          <a:off x="8153400" y="31432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76200</xdr:colOff>
      <xdr:row>17</xdr:row>
      <xdr:rowOff>76200</xdr:rowOff>
    </xdr:from>
    <xdr:to>
      <xdr:col>14</xdr:col>
      <xdr:colOff>295275</xdr:colOff>
      <xdr:row>20</xdr:row>
      <xdr:rowOff>28575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xmlns="" id="{3044AD06-52A3-4E17-BC88-51C51E76D2B3}"/>
            </a:ext>
          </a:extLst>
        </xdr:cNvPr>
        <xdr:cNvCxnSpPr/>
      </xdr:nvCxnSpPr>
      <xdr:spPr>
        <a:xfrm flipV="1">
          <a:off x="8315325" y="331470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276225</xdr:colOff>
      <xdr:row>18</xdr:row>
      <xdr:rowOff>28575</xdr:rowOff>
    </xdr:from>
    <xdr:to>
      <xdr:col>14</xdr:col>
      <xdr:colOff>495300</xdr:colOff>
      <xdr:row>20</xdr:row>
      <xdr:rowOff>171450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xmlns="" id="{CEDE7F33-FD19-4F99-B853-F6DAF434615D}"/>
            </a:ext>
          </a:extLst>
        </xdr:cNvPr>
        <xdr:cNvCxnSpPr/>
      </xdr:nvCxnSpPr>
      <xdr:spPr>
        <a:xfrm flipV="1">
          <a:off x="8515350" y="345757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428625</xdr:colOff>
      <xdr:row>18</xdr:row>
      <xdr:rowOff>180975</xdr:rowOff>
    </xdr:from>
    <xdr:to>
      <xdr:col>15</xdr:col>
      <xdr:colOff>38100</xdr:colOff>
      <xdr:row>21</xdr:row>
      <xdr:rowOff>133350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xmlns="" id="{6AFC8E69-A07D-416D-A1E7-EBBD0BC61BE4}"/>
            </a:ext>
          </a:extLst>
        </xdr:cNvPr>
        <xdr:cNvCxnSpPr/>
      </xdr:nvCxnSpPr>
      <xdr:spPr>
        <a:xfrm flipV="1">
          <a:off x="8667750" y="360997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47625</xdr:colOff>
      <xdr:row>19</xdr:row>
      <xdr:rowOff>76200</xdr:rowOff>
    </xdr:from>
    <xdr:to>
      <xdr:col>15</xdr:col>
      <xdr:colOff>266700</xdr:colOff>
      <xdr:row>22</xdr:row>
      <xdr:rowOff>28575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xmlns="" id="{1F5E2660-1BB7-4065-B8DD-ADED54AF6FF4}"/>
            </a:ext>
          </a:extLst>
        </xdr:cNvPr>
        <xdr:cNvCxnSpPr/>
      </xdr:nvCxnSpPr>
      <xdr:spPr>
        <a:xfrm flipV="1">
          <a:off x="8896350" y="369570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257175</xdr:colOff>
      <xdr:row>19</xdr:row>
      <xdr:rowOff>171450</xdr:rowOff>
    </xdr:from>
    <xdr:to>
      <xdr:col>15</xdr:col>
      <xdr:colOff>476250</xdr:colOff>
      <xdr:row>22</xdr:row>
      <xdr:rowOff>123825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xmlns="" id="{0A238BA5-4F08-4434-B6AB-1AAA930E5FDF}"/>
            </a:ext>
          </a:extLst>
        </xdr:cNvPr>
        <xdr:cNvCxnSpPr/>
      </xdr:nvCxnSpPr>
      <xdr:spPr>
        <a:xfrm flipV="1">
          <a:off x="9105900" y="37909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485775</xdr:colOff>
      <xdr:row>20</xdr:row>
      <xdr:rowOff>85725</xdr:rowOff>
    </xdr:from>
    <xdr:to>
      <xdr:col>16</xdr:col>
      <xdr:colOff>95250</xdr:colOff>
      <xdr:row>23</xdr:row>
      <xdr:rowOff>38100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xmlns="" id="{AC984517-8F61-4709-8656-393A2B9682E0}"/>
            </a:ext>
          </a:extLst>
        </xdr:cNvPr>
        <xdr:cNvCxnSpPr/>
      </xdr:nvCxnSpPr>
      <xdr:spPr>
        <a:xfrm flipV="1">
          <a:off x="9334500" y="38957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152400</xdr:colOff>
      <xdr:row>20</xdr:row>
      <xdr:rowOff>171450</xdr:rowOff>
    </xdr:from>
    <xdr:to>
      <xdr:col>16</xdr:col>
      <xdr:colOff>371475</xdr:colOff>
      <xdr:row>23</xdr:row>
      <xdr:rowOff>123825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xmlns="" id="{543C80C1-1A29-4C93-A554-1CA053F9E47D}"/>
            </a:ext>
          </a:extLst>
        </xdr:cNvPr>
        <xdr:cNvCxnSpPr/>
      </xdr:nvCxnSpPr>
      <xdr:spPr>
        <a:xfrm flipV="1">
          <a:off x="9610725" y="39814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409575</xdr:colOff>
      <xdr:row>21</xdr:row>
      <xdr:rowOff>19050</xdr:rowOff>
    </xdr:from>
    <xdr:to>
      <xdr:col>17</xdr:col>
      <xdr:colOff>19050</xdr:colOff>
      <xdr:row>23</xdr:row>
      <xdr:rowOff>161925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xmlns="" id="{FC2CB732-F26D-43ED-8839-483D3FB1DF82}"/>
            </a:ext>
          </a:extLst>
        </xdr:cNvPr>
        <xdr:cNvCxnSpPr/>
      </xdr:nvCxnSpPr>
      <xdr:spPr>
        <a:xfrm flipV="1">
          <a:off x="9867900" y="40195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57150</xdr:colOff>
      <xdr:row>21</xdr:row>
      <xdr:rowOff>85725</xdr:rowOff>
    </xdr:from>
    <xdr:to>
      <xdr:col>17</xdr:col>
      <xdr:colOff>276225</xdr:colOff>
      <xdr:row>24</xdr:row>
      <xdr:rowOff>38100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xmlns="" id="{894619E0-6E06-4A16-9103-BADF1F2A1054}"/>
            </a:ext>
          </a:extLst>
        </xdr:cNvPr>
        <xdr:cNvCxnSpPr/>
      </xdr:nvCxnSpPr>
      <xdr:spPr>
        <a:xfrm flipV="1">
          <a:off x="10125075" y="40862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361950</xdr:colOff>
      <xdr:row>21</xdr:row>
      <xdr:rowOff>123825</xdr:rowOff>
    </xdr:from>
    <xdr:to>
      <xdr:col>17</xdr:col>
      <xdr:colOff>581025</xdr:colOff>
      <xdr:row>24</xdr:row>
      <xdr:rowOff>76200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xmlns="" id="{A885AFE1-726F-4EF2-BF4F-943399A40C29}"/>
            </a:ext>
          </a:extLst>
        </xdr:cNvPr>
        <xdr:cNvCxnSpPr/>
      </xdr:nvCxnSpPr>
      <xdr:spPr>
        <a:xfrm flipV="1">
          <a:off x="10429875" y="41243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0</xdr:colOff>
      <xdr:row>22</xdr:row>
      <xdr:rowOff>19050</xdr:rowOff>
    </xdr:from>
    <xdr:to>
      <xdr:col>18</xdr:col>
      <xdr:colOff>219075</xdr:colOff>
      <xdr:row>24</xdr:row>
      <xdr:rowOff>161925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xmlns="" id="{D9EB9AD5-E5AB-4DE5-96FE-F4914F118FFD}"/>
            </a:ext>
          </a:extLst>
        </xdr:cNvPr>
        <xdr:cNvCxnSpPr/>
      </xdr:nvCxnSpPr>
      <xdr:spPr>
        <a:xfrm flipV="1">
          <a:off x="10677525" y="42100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304800</xdr:colOff>
      <xdr:row>22</xdr:row>
      <xdr:rowOff>66675</xdr:rowOff>
    </xdr:from>
    <xdr:to>
      <xdr:col>18</xdr:col>
      <xdr:colOff>523875</xdr:colOff>
      <xdr:row>25</xdr:row>
      <xdr:rowOff>19050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xmlns="" id="{D650C675-7F6A-475D-854C-41CD9C266BC6}"/>
            </a:ext>
          </a:extLst>
        </xdr:cNvPr>
        <xdr:cNvCxnSpPr/>
      </xdr:nvCxnSpPr>
      <xdr:spPr>
        <a:xfrm flipV="1">
          <a:off x="10982325" y="425767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533400</xdr:colOff>
      <xdr:row>22</xdr:row>
      <xdr:rowOff>114300</xdr:rowOff>
    </xdr:from>
    <xdr:to>
      <xdr:col>19</xdr:col>
      <xdr:colOff>142875</xdr:colOff>
      <xdr:row>25</xdr:row>
      <xdr:rowOff>66675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xmlns="" id="{93C5B602-38E6-4642-B42A-180A20DBFAED}"/>
            </a:ext>
          </a:extLst>
        </xdr:cNvPr>
        <xdr:cNvCxnSpPr/>
      </xdr:nvCxnSpPr>
      <xdr:spPr>
        <a:xfrm flipV="1">
          <a:off x="11210925" y="430530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228600</xdr:colOff>
      <xdr:row>22</xdr:row>
      <xdr:rowOff>142875</xdr:rowOff>
    </xdr:from>
    <xdr:to>
      <xdr:col>19</xdr:col>
      <xdr:colOff>447675</xdr:colOff>
      <xdr:row>25</xdr:row>
      <xdr:rowOff>95250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xmlns="" id="{12C52500-ECC3-406D-A821-93EA4823E4A2}"/>
            </a:ext>
          </a:extLst>
        </xdr:cNvPr>
        <xdr:cNvCxnSpPr/>
      </xdr:nvCxnSpPr>
      <xdr:spPr>
        <a:xfrm flipV="1">
          <a:off x="11515725" y="433387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438150</xdr:colOff>
      <xdr:row>23</xdr:row>
      <xdr:rowOff>9525</xdr:rowOff>
    </xdr:from>
    <xdr:to>
      <xdr:col>20</xdr:col>
      <xdr:colOff>47625</xdr:colOff>
      <xdr:row>25</xdr:row>
      <xdr:rowOff>152400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xmlns="" id="{15987DFA-A930-42A0-844A-ECC20FE13453}"/>
            </a:ext>
          </a:extLst>
        </xdr:cNvPr>
        <xdr:cNvCxnSpPr/>
      </xdr:nvCxnSpPr>
      <xdr:spPr>
        <a:xfrm flipV="1">
          <a:off x="11725275" y="43910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495300</xdr:colOff>
      <xdr:row>8</xdr:row>
      <xdr:rowOff>171450</xdr:rowOff>
    </xdr:from>
    <xdr:to>
      <xdr:col>11</xdr:col>
      <xdr:colOff>104775</xdr:colOff>
      <xdr:row>11</xdr:row>
      <xdr:rowOff>123825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xmlns="" id="{A9841EB8-99C4-45F1-ADA4-D3B041C7B767}"/>
            </a:ext>
          </a:extLst>
        </xdr:cNvPr>
        <xdr:cNvCxnSpPr/>
      </xdr:nvCxnSpPr>
      <xdr:spPr>
        <a:xfrm flipV="1">
          <a:off x="6296025" y="16954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333375</xdr:colOff>
      <xdr:row>8</xdr:row>
      <xdr:rowOff>28575</xdr:rowOff>
    </xdr:from>
    <xdr:to>
      <xdr:col>10</xdr:col>
      <xdr:colOff>552450</xdr:colOff>
      <xdr:row>10</xdr:row>
      <xdr:rowOff>171450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xmlns="" id="{37718561-86EE-4D0A-9762-B80784996F7C}"/>
            </a:ext>
          </a:extLst>
        </xdr:cNvPr>
        <xdr:cNvCxnSpPr/>
      </xdr:nvCxnSpPr>
      <xdr:spPr>
        <a:xfrm flipV="1">
          <a:off x="6134100" y="155257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38100</xdr:colOff>
      <xdr:row>9</xdr:row>
      <xdr:rowOff>57150</xdr:rowOff>
    </xdr:from>
    <xdr:to>
      <xdr:col>11</xdr:col>
      <xdr:colOff>257175</xdr:colOff>
      <xdr:row>12</xdr:row>
      <xdr:rowOff>9525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xmlns="" id="{33CD65DE-6BB3-4AA1-B79F-7469D4772483}"/>
            </a:ext>
          </a:extLst>
        </xdr:cNvPr>
        <xdr:cNvCxnSpPr/>
      </xdr:nvCxnSpPr>
      <xdr:spPr>
        <a:xfrm flipV="1">
          <a:off x="6448425" y="1771650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161925</xdr:colOff>
      <xdr:row>7</xdr:row>
      <xdr:rowOff>123825</xdr:rowOff>
    </xdr:from>
    <xdr:to>
      <xdr:col>10</xdr:col>
      <xdr:colOff>381000</xdr:colOff>
      <xdr:row>10</xdr:row>
      <xdr:rowOff>76200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xmlns="" id="{4F8E28F0-17EC-4AFE-AB2C-D98E5F347F2E}"/>
            </a:ext>
          </a:extLst>
        </xdr:cNvPr>
        <xdr:cNvCxnSpPr/>
      </xdr:nvCxnSpPr>
      <xdr:spPr>
        <a:xfrm flipV="1">
          <a:off x="5962650" y="1457325"/>
          <a:ext cx="828675" cy="52387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75" name="Rectangle 74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9525</xdr:colOff>
      <xdr:row>29</xdr:row>
      <xdr:rowOff>28575</xdr:rowOff>
    </xdr:from>
    <xdr:to>
      <xdr:col>9</xdr:col>
      <xdr:colOff>600074</xdr:colOff>
      <xdr:row>36</xdr:row>
      <xdr:rowOff>161925</xdr:rowOff>
    </xdr:to>
    <xdr:sp macro="" textlink="">
      <xdr:nvSpPr>
        <xdr:cNvPr id="39" name="Freeform: Shape 38">
          <a:extLst>
            <a:ext uri="{FF2B5EF4-FFF2-40B4-BE49-F238E27FC236}">
              <a16:creationId xmlns:a16="http://schemas.microsoft.com/office/drawing/2014/main" xmlns="" id="{FC7901AE-3E1D-08F9-CE1C-B87C4DAF3261}"/>
            </a:ext>
          </a:extLst>
        </xdr:cNvPr>
        <xdr:cNvSpPr/>
      </xdr:nvSpPr>
      <xdr:spPr>
        <a:xfrm>
          <a:off x="5495925" y="5572125"/>
          <a:ext cx="1809749" cy="1466850"/>
        </a:xfrm>
        <a:custGeom>
          <a:avLst/>
          <a:gdLst>
            <a:gd name="connsiteX0" fmla="*/ 23438 w 1852238"/>
            <a:gd name="connsiteY0" fmla="*/ 1544783 h 1554308"/>
            <a:gd name="connsiteX1" fmla="*/ 13913 w 1852238"/>
            <a:gd name="connsiteY1" fmla="*/ 1287608 h 1554308"/>
            <a:gd name="connsiteX2" fmla="*/ 4388 w 1852238"/>
            <a:gd name="connsiteY2" fmla="*/ 1239983 h 1554308"/>
            <a:gd name="connsiteX3" fmla="*/ 23438 w 1852238"/>
            <a:gd name="connsiteY3" fmla="*/ 1049483 h 1554308"/>
            <a:gd name="connsiteX4" fmla="*/ 42488 w 1852238"/>
            <a:gd name="connsiteY4" fmla="*/ 887558 h 1554308"/>
            <a:gd name="connsiteX5" fmla="*/ 32963 w 1852238"/>
            <a:gd name="connsiteY5" fmla="*/ 801833 h 1554308"/>
            <a:gd name="connsiteX6" fmla="*/ 23438 w 1852238"/>
            <a:gd name="connsiteY6" fmla="*/ 763733 h 1554308"/>
            <a:gd name="connsiteX7" fmla="*/ 4388 w 1852238"/>
            <a:gd name="connsiteY7" fmla="*/ 96983 h 1554308"/>
            <a:gd name="connsiteX8" fmla="*/ 13913 w 1852238"/>
            <a:gd name="connsiteY8" fmla="*/ 1733 h 1554308"/>
            <a:gd name="connsiteX9" fmla="*/ 118688 w 1852238"/>
            <a:gd name="connsiteY9" fmla="*/ 58883 h 1554308"/>
            <a:gd name="connsiteX10" fmla="*/ 147263 w 1852238"/>
            <a:gd name="connsiteY10" fmla="*/ 68408 h 1554308"/>
            <a:gd name="connsiteX11" fmla="*/ 185363 w 1852238"/>
            <a:gd name="connsiteY11" fmla="*/ 87458 h 1554308"/>
            <a:gd name="connsiteX12" fmla="*/ 261563 w 1852238"/>
            <a:gd name="connsiteY12" fmla="*/ 106508 h 1554308"/>
            <a:gd name="connsiteX13" fmla="*/ 318713 w 1852238"/>
            <a:gd name="connsiteY13" fmla="*/ 135083 h 1554308"/>
            <a:gd name="connsiteX14" fmla="*/ 356813 w 1852238"/>
            <a:gd name="connsiteY14" fmla="*/ 144608 h 1554308"/>
            <a:gd name="connsiteX15" fmla="*/ 394913 w 1852238"/>
            <a:gd name="connsiteY15" fmla="*/ 173183 h 1554308"/>
            <a:gd name="connsiteX16" fmla="*/ 461588 w 1852238"/>
            <a:gd name="connsiteY16" fmla="*/ 182708 h 1554308"/>
            <a:gd name="connsiteX17" fmla="*/ 490163 w 1852238"/>
            <a:gd name="connsiteY17" fmla="*/ 192233 h 1554308"/>
            <a:gd name="connsiteX18" fmla="*/ 528263 w 1852238"/>
            <a:gd name="connsiteY18" fmla="*/ 201758 h 1554308"/>
            <a:gd name="connsiteX19" fmla="*/ 585413 w 1852238"/>
            <a:gd name="connsiteY19" fmla="*/ 220808 h 1554308"/>
            <a:gd name="connsiteX20" fmla="*/ 671138 w 1852238"/>
            <a:gd name="connsiteY20" fmla="*/ 258908 h 1554308"/>
            <a:gd name="connsiteX21" fmla="*/ 766388 w 1852238"/>
            <a:gd name="connsiteY21" fmla="*/ 277958 h 1554308"/>
            <a:gd name="connsiteX22" fmla="*/ 890213 w 1852238"/>
            <a:gd name="connsiteY22" fmla="*/ 297008 h 1554308"/>
            <a:gd name="connsiteX23" fmla="*/ 947363 w 1852238"/>
            <a:gd name="connsiteY23" fmla="*/ 306533 h 1554308"/>
            <a:gd name="connsiteX24" fmla="*/ 1052138 w 1852238"/>
            <a:gd name="connsiteY24" fmla="*/ 354158 h 1554308"/>
            <a:gd name="connsiteX25" fmla="*/ 1080713 w 1852238"/>
            <a:gd name="connsiteY25" fmla="*/ 363683 h 1554308"/>
            <a:gd name="connsiteX26" fmla="*/ 1118813 w 1852238"/>
            <a:gd name="connsiteY26" fmla="*/ 382733 h 1554308"/>
            <a:gd name="connsiteX27" fmla="*/ 1309313 w 1852238"/>
            <a:gd name="connsiteY27" fmla="*/ 449408 h 1554308"/>
            <a:gd name="connsiteX28" fmla="*/ 1347413 w 1852238"/>
            <a:gd name="connsiteY28" fmla="*/ 458933 h 1554308"/>
            <a:gd name="connsiteX29" fmla="*/ 1461713 w 1852238"/>
            <a:gd name="connsiteY29" fmla="*/ 506558 h 1554308"/>
            <a:gd name="connsiteX30" fmla="*/ 1614113 w 1852238"/>
            <a:gd name="connsiteY30" fmla="*/ 535133 h 1554308"/>
            <a:gd name="connsiteX31" fmla="*/ 1633163 w 1852238"/>
            <a:gd name="connsiteY31" fmla="*/ 563708 h 1554308"/>
            <a:gd name="connsiteX32" fmla="*/ 1699838 w 1852238"/>
            <a:gd name="connsiteY32" fmla="*/ 601808 h 1554308"/>
            <a:gd name="connsiteX33" fmla="*/ 1747463 w 1852238"/>
            <a:gd name="connsiteY33" fmla="*/ 687533 h 1554308"/>
            <a:gd name="connsiteX34" fmla="*/ 1804613 w 1852238"/>
            <a:gd name="connsiteY34" fmla="*/ 754208 h 1554308"/>
            <a:gd name="connsiteX35" fmla="*/ 1823663 w 1852238"/>
            <a:gd name="connsiteY35" fmla="*/ 782783 h 1554308"/>
            <a:gd name="connsiteX36" fmla="*/ 1852238 w 1852238"/>
            <a:gd name="connsiteY36" fmla="*/ 820883 h 1554308"/>
            <a:gd name="connsiteX37" fmla="*/ 1842713 w 1852238"/>
            <a:gd name="connsiteY37" fmla="*/ 1068533 h 1554308"/>
            <a:gd name="connsiteX38" fmla="*/ 1823663 w 1852238"/>
            <a:gd name="connsiteY38" fmla="*/ 1497158 h 1554308"/>
            <a:gd name="connsiteX39" fmla="*/ 1785563 w 1852238"/>
            <a:gd name="connsiteY39" fmla="*/ 1544783 h 1554308"/>
            <a:gd name="connsiteX40" fmla="*/ 1661738 w 1852238"/>
            <a:gd name="connsiteY40" fmla="*/ 1554308 h 1554308"/>
            <a:gd name="connsiteX41" fmla="*/ 23438 w 1852238"/>
            <a:gd name="connsiteY41" fmla="*/ 1544783 h 15543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1852238" h="1554308">
              <a:moveTo>
                <a:pt x="23438" y="1544783"/>
              </a:moveTo>
              <a:cubicBezTo>
                <a:pt x="20263" y="1459058"/>
                <a:pt x="19264" y="1373225"/>
                <a:pt x="13913" y="1287608"/>
              </a:cubicBezTo>
              <a:cubicBezTo>
                <a:pt x="12903" y="1271450"/>
                <a:pt x="4388" y="1256172"/>
                <a:pt x="4388" y="1239983"/>
              </a:cubicBezTo>
              <a:cubicBezTo>
                <a:pt x="4388" y="1121168"/>
                <a:pt x="14158" y="1142282"/>
                <a:pt x="23438" y="1049483"/>
              </a:cubicBezTo>
              <a:cubicBezTo>
                <a:pt x="39232" y="891548"/>
                <a:pt x="21258" y="972478"/>
                <a:pt x="42488" y="887558"/>
              </a:cubicBezTo>
              <a:cubicBezTo>
                <a:pt x="39313" y="858983"/>
                <a:pt x="37335" y="830250"/>
                <a:pt x="32963" y="801833"/>
              </a:cubicBezTo>
              <a:cubicBezTo>
                <a:pt x="30972" y="788894"/>
                <a:pt x="23882" y="776816"/>
                <a:pt x="23438" y="763733"/>
              </a:cubicBezTo>
              <a:cubicBezTo>
                <a:pt x="-5231" y="-82017"/>
                <a:pt x="30526" y="489047"/>
                <a:pt x="4388" y="96983"/>
              </a:cubicBezTo>
              <a:cubicBezTo>
                <a:pt x="7563" y="65233"/>
                <a:pt x="-12636" y="19433"/>
                <a:pt x="13913" y="1733"/>
              </a:cubicBezTo>
              <a:cubicBezTo>
                <a:pt x="32413" y="-10600"/>
                <a:pt x="93871" y="46475"/>
                <a:pt x="118688" y="58883"/>
              </a:cubicBezTo>
              <a:cubicBezTo>
                <a:pt x="127668" y="63373"/>
                <a:pt x="138035" y="64453"/>
                <a:pt x="147263" y="68408"/>
              </a:cubicBezTo>
              <a:cubicBezTo>
                <a:pt x="160314" y="74001"/>
                <a:pt x="171893" y="82968"/>
                <a:pt x="185363" y="87458"/>
              </a:cubicBezTo>
              <a:cubicBezTo>
                <a:pt x="210201" y="95737"/>
                <a:pt x="236725" y="98229"/>
                <a:pt x="261563" y="106508"/>
              </a:cubicBezTo>
              <a:cubicBezTo>
                <a:pt x="381970" y="146644"/>
                <a:pt x="189462" y="79690"/>
                <a:pt x="318713" y="135083"/>
              </a:cubicBezTo>
              <a:cubicBezTo>
                <a:pt x="330745" y="140240"/>
                <a:pt x="344113" y="141433"/>
                <a:pt x="356813" y="144608"/>
              </a:cubicBezTo>
              <a:cubicBezTo>
                <a:pt x="369513" y="154133"/>
                <a:pt x="379994" y="167758"/>
                <a:pt x="394913" y="173183"/>
              </a:cubicBezTo>
              <a:cubicBezTo>
                <a:pt x="416012" y="180855"/>
                <a:pt x="439573" y="178305"/>
                <a:pt x="461588" y="182708"/>
              </a:cubicBezTo>
              <a:cubicBezTo>
                <a:pt x="471433" y="184677"/>
                <a:pt x="480509" y="189475"/>
                <a:pt x="490163" y="192233"/>
              </a:cubicBezTo>
              <a:cubicBezTo>
                <a:pt x="502750" y="195829"/>
                <a:pt x="515724" y="197996"/>
                <a:pt x="528263" y="201758"/>
              </a:cubicBezTo>
              <a:cubicBezTo>
                <a:pt x="547497" y="207528"/>
                <a:pt x="566769" y="213350"/>
                <a:pt x="585413" y="220808"/>
              </a:cubicBezTo>
              <a:cubicBezTo>
                <a:pt x="628352" y="237984"/>
                <a:pt x="622918" y="246049"/>
                <a:pt x="671138" y="258908"/>
              </a:cubicBezTo>
              <a:cubicBezTo>
                <a:pt x="702424" y="267251"/>
                <a:pt x="734450" y="272635"/>
                <a:pt x="766388" y="277958"/>
              </a:cubicBezTo>
              <a:cubicBezTo>
                <a:pt x="908942" y="301717"/>
                <a:pt x="730882" y="272496"/>
                <a:pt x="890213" y="297008"/>
              </a:cubicBezTo>
              <a:cubicBezTo>
                <a:pt x="909301" y="299945"/>
                <a:pt x="928313" y="303358"/>
                <a:pt x="947363" y="306533"/>
              </a:cubicBezTo>
              <a:cubicBezTo>
                <a:pt x="1087457" y="362571"/>
                <a:pt x="889142" y="281715"/>
                <a:pt x="1052138" y="354158"/>
              </a:cubicBezTo>
              <a:cubicBezTo>
                <a:pt x="1061313" y="358236"/>
                <a:pt x="1071485" y="359728"/>
                <a:pt x="1080713" y="363683"/>
              </a:cubicBezTo>
              <a:cubicBezTo>
                <a:pt x="1093764" y="369276"/>
                <a:pt x="1105518" y="377747"/>
                <a:pt x="1118813" y="382733"/>
              </a:cubicBezTo>
              <a:cubicBezTo>
                <a:pt x="1181806" y="406356"/>
                <a:pt x="1244045" y="433091"/>
                <a:pt x="1309313" y="449408"/>
              </a:cubicBezTo>
              <a:cubicBezTo>
                <a:pt x="1322013" y="452583"/>
                <a:pt x="1335156" y="454336"/>
                <a:pt x="1347413" y="458933"/>
              </a:cubicBezTo>
              <a:cubicBezTo>
                <a:pt x="1386060" y="473426"/>
                <a:pt x="1420853" y="500721"/>
                <a:pt x="1461713" y="506558"/>
              </a:cubicBezTo>
              <a:cubicBezTo>
                <a:pt x="1557366" y="520223"/>
                <a:pt x="1506472" y="511213"/>
                <a:pt x="1614113" y="535133"/>
              </a:cubicBezTo>
              <a:cubicBezTo>
                <a:pt x="1620463" y="544658"/>
                <a:pt x="1624224" y="556557"/>
                <a:pt x="1633163" y="563708"/>
              </a:cubicBezTo>
              <a:cubicBezTo>
                <a:pt x="1705789" y="621809"/>
                <a:pt x="1607868" y="498341"/>
                <a:pt x="1699838" y="601808"/>
              </a:cubicBezTo>
              <a:cubicBezTo>
                <a:pt x="1793766" y="707477"/>
                <a:pt x="1708658" y="619624"/>
                <a:pt x="1747463" y="687533"/>
              </a:cubicBezTo>
              <a:cubicBezTo>
                <a:pt x="1773406" y="732933"/>
                <a:pt x="1773904" y="717357"/>
                <a:pt x="1804613" y="754208"/>
              </a:cubicBezTo>
              <a:cubicBezTo>
                <a:pt x="1811942" y="763002"/>
                <a:pt x="1817009" y="773468"/>
                <a:pt x="1823663" y="782783"/>
              </a:cubicBezTo>
              <a:cubicBezTo>
                <a:pt x="1832890" y="795701"/>
                <a:pt x="1842713" y="808183"/>
                <a:pt x="1852238" y="820883"/>
              </a:cubicBezTo>
              <a:cubicBezTo>
                <a:pt x="1849063" y="903433"/>
                <a:pt x="1846200" y="985996"/>
                <a:pt x="1842713" y="1068533"/>
              </a:cubicBezTo>
              <a:cubicBezTo>
                <a:pt x="1836675" y="1211422"/>
                <a:pt x="1832584" y="1354420"/>
                <a:pt x="1823663" y="1497158"/>
              </a:cubicBezTo>
              <a:cubicBezTo>
                <a:pt x="1822306" y="1518863"/>
                <a:pt x="1809051" y="1540379"/>
                <a:pt x="1785563" y="1544783"/>
              </a:cubicBezTo>
              <a:cubicBezTo>
                <a:pt x="1744875" y="1552412"/>
                <a:pt x="1703134" y="1554081"/>
                <a:pt x="1661738" y="1554308"/>
              </a:cubicBezTo>
              <a:lnTo>
                <a:pt x="23438" y="1544783"/>
              </a:lnTo>
              <a:close/>
            </a:path>
          </a:pathLst>
        </a:cu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0</xdr:colOff>
      <xdr:row>19</xdr:row>
      <xdr:rowOff>47625</xdr:rowOff>
    </xdr:from>
    <xdr:to>
      <xdr:col>7</xdr:col>
      <xdr:colOff>19050</xdr:colOff>
      <xdr:row>37</xdr:row>
      <xdr:rowOff>38100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xmlns="" id="{10A7AE20-959C-4607-9A76-E0769BB6B8B2}"/>
            </a:ext>
          </a:extLst>
        </xdr:cNvPr>
        <xdr:cNvCxnSpPr/>
      </xdr:nvCxnSpPr>
      <xdr:spPr>
        <a:xfrm flipV="1">
          <a:off x="5486400" y="3686175"/>
          <a:ext cx="19050" cy="3419475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37</xdr:row>
      <xdr:rowOff>9525</xdr:rowOff>
    </xdr:from>
    <xdr:to>
      <xdr:col>15</xdr:col>
      <xdr:colOff>400050</xdr:colOff>
      <xdr:row>37</xdr:row>
      <xdr:rowOff>9525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xmlns="" id="{E844F8A4-D6CC-4A4C-8782-64CE12FBFD2D}"/>
            </a:ext>
          </a:extLst>
        </xdr:cNvPr>
        <xdr:cNvCxnSpPr/>
      </xdr:nvCxnSpPr>
      <xdr:spPr>
        <a:xfrm>
          <a:off x="5486400" y="7077075"/>
          <a:ext cx="5276850" cy="0"/>
        </a:xfrm>
        <a:prstGeom prst="straightConnector1">
          <a:avLst/>
        </a:prstGeom>
        <a:ln w="28575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19050</xdr:colOff>
      <xdr:row>27</xdr:row>
      <xdr:rowOff>171450</xdr:rowOff>
    </xdr:from>
    <xdr:to>
      <xdr:col>16</xdr:col>
      <xdr:colOff>19050</xdr:colOff>
      <xdr:row>38</xdr:row>
      <xdr:rowOff>9525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xmlns="" id="{C7F92377-2F7F-4AFD-A4EC-938B958903F1}"/>
            </a:ext>
          </a:extLst>
        </xdr:cNvPr>
        <xdr:cNvCxnSpPr/>
      </xdr:nvCxnSpPr>
      <xdr:spPr>
        <a:xfrm>
          <a:off x="4867275" y="5334000"/>
          <a:ext cx="6124575" cy="1933575"/>
        </a:xfrm>
        <a:prstGeom prst="line">
          <a:avLst/>
        </a:prstGeom>
        <a:ln/>
      </xdr:spPr>
      <xdr:style>
        <a:lnRef idx="1">
          <a:schemeClr val="accent6"/>
        </a:lnRef>
        <a:fillRef idx="0">
          <a:schemeClr val="accent6"/>
        </a:fillRef>
        <a:effectRef idx="0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307803</xdr:colOff>
      <xdr:row>29</xdr:row>
      <xdr:rowOff>172281</xdr:rowOff>
    </xdr:from>
    <xdr:to>
      <xdr:col>7</xdr:col>
      <xdr:colOff>603426</xdr:colOff>
      <xdr:row>30</xdr:row>
      <xdr:rowOff>181795</xdr:rowOff>
    </xdr:to>
    <xdr:sp macro="" textlink="">
      <xdr:nvSpPr>
        <xdr:cNvPr id="16" name="Arrow: Down 15">
          <a:extLst>
            <a:ext uri="{FF2B5EF4-FFF2-40B4-BE49-F238E27FC236}">
              <a16:creationId xmlns:a16="http://schemas.microsoft.com/office/drawing/2014/main" xmlns="" id="{12F68B75-D286-4240-BB86-0241656F9134}"/>
            </a:ext>
          </a:extLst>
        </xdr:cNvPr>
        <xdr:cNvSpPr/>
      </xdr:nvSpPr>
      <xdr:spPr>
        <a:xfrm rot="1194743" flipH="1">
          <a:off x="5794203" y="5715831"/>
          <a:ext cx="295623" cy="2000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603077</xdr:colOff>
      <xdr:row>35</xdr:row>
      <xdr:rowOff>77031</xdr:rowOff>
    </xdr:from>
    <xdr:to>
      <xdr:col>13</xdr:col>
      <xdr:colOff>289100</xdr:colOff>
      <xdr:row>36</xdr:row>
      <xdr:rowOff>86545</xdr:rowOff>
    </xdr:to>
    <xdr:sp macro="" textlink="">
      <xdr:nvSpPr>
        <xdr:cNvPr id="17" name="Arrow: Down 16">
          <a:extLst>
            <a:ext uri="{FF2B5EF4-FFF2-40B4-BE49-F238E27FC236}">
              <a16:creationId xmlns:a16="http://schemas.microsoft.com/office/drawing/2014/main" xmlns="" id="{DA80F2B4-16E7-41DC-AF0B-320CD02BB0F1}"/>
            </a:ext>
          </a:extLst>
        </xdr:cNvPr>
        <xdr:cNvSpPr/>
      </xdr:nvSpPr>
      <xdr:spPr>
        <a:xfrm rot="1194743" flipH="1">
          <a:off x="9137477" y="6763581"/>
          <a:ext cx="295623" cy="2000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400050</xdr:colOff>
      <xdr:row>19</xdr:row>
      <xdr:rowOff>85725</xdr:rowOff>
    </xdr:from>
    <xdr:to>
      <xdr:col>11</xdr:col>
      <xdr:colOff>200025</xdr:colOff>
      <xdr:row>38</xdr:row>
      <xdr:rowOff>57150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xmlns="" id="{018EC00E-9F9D-4FBF-9CBD-1F51CBDF4E91}"/>
            </a:ext>
          </a:extLst>
        </xdr:cNvPr>
        <xdr:cNvCxnSpPr/>
      </xdr:nvCxnSpPr>
      <xdr:spPr>
        <a:xfrm>
          <a:off x="5248275" y="3724275"/>
          <a:ext cx="2876550" cy="3590925"/>
        </a:xfrm>
        <a:prstGeom prst="line">
          <a:avLst/>
        </a:prstGeom>
        <a:ln w="12700"/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260357</xdr:colOff>
      <xdr:row>23</xdr:row>
      <xdr:rowOff>105425</xdr:rowOff>
    </xdr:from>
    <xdr:to>
      <xdr:col>7</xdr:col>
      <xdr:colOff>460371</xdr:colOff>
      <xdr:row>25</xdr:row>
      <xdr:rowOff>20048</xdr:rowOff>
    </xdr:to>
    <xdr:sp macro="" textlink="">
      <xdr:nvSpPr>
        <xdr:cNvPr id="21" name="Arrow: Down 20">
          <a:extLst>
            <a:ext uri="{FF2B5EF4-FFF2-40B4-BE49-F238E27FC236}">
              <a16:creationId xmlns:a16="http://schemas.microsoft.com/office/drawing/2014/main" xmlns="" id="{55A12E4B-7D6F-4D92-BC16-6DC8ABA5393D}"/>
            </a:ext>
          </a:extLst>
        </xdr:cNvPr>
        <xdr:cNvSpPr/>
      </xdr:nvSpPr>
      <xdr:spPr>
        <a:xfrm rot="2913641" flipH="1">
          <a:off x="5698952" y="4553780"/>
          <a:ext cx="295623" cy="2000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222257</xdr:colOff>
      <xdr:row>35</xdr:row>
      <xdr:rowOff>67324</xdr:rowOff>
    </xdr:from>
    <xdr:to>
      <xdr:col>10</xdr:col>
      <xdr:colOff>422271</xdr:colOff>
      <xdr:row>36</xdr:row>
      <xdr:rowOff>172447</xdr:rowOff>
    </xdr:to>
    <xdr:sp macro="" textlink="">
      <xdr:nvSpPr>
        <xdr:cNvPr id="22" name="Arrow: Down 21">
          <a:extLst>
            <a:ext uri="{FF2B5EF4-FFF2-40B4-BE49-F238E27FC236}">
              <a16:creationId xmlns:a16="http://schemas.microsoft.com/office/drawing/2014/main" xmlns="" id="{112CB91D-880F-4B93-8AEA-4575EAB5D233}"/>
            </a:ext>
          </a:extLst>
        </xdr:cNvPr>
        <xdr:cNvSpPr/>
      </xdr:nvSpPr>
      <xdr:spPr>
        <a:xfrm rot="2913641" flipH="1">
          <a:off x="7489652" y="6801679"/>
          <a:ext cx="295623" cy="2000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152400</xdr:colOff>
      <xdr:row>23</xdr:row>
      <xdr:rowOff>66675</xdr:rowOff>
    </xdr:from>
    <xdr:to>
      <xdr:col>13</xdr:col>
      <xdr:colOff>381000</xdr:colOff>
      <xdr:row>38</xdr:row>
      <xdr:rowOff>57150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xmlns="" id="{2862E730-F125-46D2-9A85-95C91D817C36}"/>
            </a:ext>
          </a:extLst>
        </xdr:cNvPr>
        <xdr:cNvCxnSpPr/>
      </xdr:nvCxnSpPr>
      <xdr:spPr>
        <a:xfrm>
          <a:off x="5000625" y="4467225"/>
          <a:ext cx="4524375" cy="2847975"/>
        </a:xfrm>
        <a:prstGeom prst="line">
          <a:avLst/>
        </a:prstGeom>
        <a:ln/>
      </xdr:spPr>
      <xdr:style>
        <a:lnRef idx="1">
          <a:schemeClr val="accent4"/>
        </a:lnRef>
        <a:fillRef idx="0">
          <a:schemeClr val="accent4"/>
        </a:fillRef>
        <a:effectRef idx="0">
          <a:schemeClr val="accent4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277576</xdr:colOff>
      <xdr:row>34</xdr:row>
      <xdr:rowOff>101136</xdr:rowOff>
    </xdr:from>
    <xdr:to>
      <xdr:col>11</xdr:col>
      <xdr:colOff>497160</xdr:colOff>
      <xdr:row>35</xdr:row>
      <xdr:rowOff>106597</xdr:rowOff>
    </xdr:to>
    <xdr:sp macro="" textlink="">
      <xdr:nvSpPr>
        <xdr:cNvPr id="26" name="Arrow: Down 25">
          <a:extLst>
            <a:ext uri="{FF2B5EF4-FFF2-40B4-BE49-F238E27FC236}">
              <a16:creationId xmlns:a16="http://schemas.microsoft.com/office/drawing/2014/main" xmlns="" id="{3D7279D5-EA62-4690-B901-4B3D65489EE0}"/>
            </a:ext>
          </a:extLst>
        </xdr:cNvPr>
        <xdr:cNvSpPr/>
      </xdr:nvSpPr>
      <xdr:spPr>
        <a:xfrm rot="2079885" flipH="1">
          <a:off x="8202376" y="6597186"/>
          <a:ext cx="219584" cy="19596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363301</xdr:colOff>
      <xdr:row>26</xdr:row>
      <xdr:rowOff>177336</xdr:rowOff>
    </xdr:from>
    <xdr:to>
      <xdr:col>7</xdr:col>
      <xdr:colOff>582885</xdr:colOff>
      <xdr:row>27</xdr:row>
      <xdr:rowOff>182797</xdr:rowOff>
    </xdr:to>
    <xdr:sp macro="" textlink="">
      <xdr:nvSpPr>
        <xdr:cNvPr id="27" name="Arrow: Down 26">
          <a:extLst>
            <a:ext uri="{FF2B5EF4-FFF2-40B4-BE49-F238E27FC236}">
              <a16:creationId xmlns:a16="http://schemas.microsoft.com/office/drawing/2014/main" xmlns="" id="{988CE8CF-40D3-4371-BF8C-03ADF8423E66}"/>
            </a:ext>
          </a:extLst>
        </xdr:cNvPr>
        <xdr:cNvSpPr/>
      </xdr:nvSpPr>
      <xdr:spPr>
        <a:xfrm rot="2079885" flipH="1">
          <a:off x="5849701" y="5149386"/>
          <a:ext cx="219584" cy="19596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10</xdr:col>
      <xdr:colOff>0</xdr:colOff>
      <xdr:row>20</xdr:row>
      <xdr:rowOff>66675</xdr:rowOff>
    </xdr:from>
    <xdr:to>
      <xdr:col>10</xdr:col>
      <xdr:colOff>9525</xdr:colOff>
      <xdr:row>38</xdr:row>
      <xdr:rowOff>133350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xmlns="" id="{F3DB4CDA-2F2A-4D6B-9A54-0A5CC373855B}"/>
            </a:ext>
          </a:extLst>
        </xdr:cNvPr>
        <xdr:cNvCxnSpPr/>
      </xdr:nvCxnSpPr>
      <xdr:spPr>
        <a:xfrm flipH="1">
          <a:off x="7315200" y="3895725"/>
          <a:ext cx="9525" cy="3495675"/>
        </a:xfrm>
        <a:prstGeom prst="line">
          <a:avLst/>
        </a:prstGeom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6</xdr:col>
      <xdr:colOff>561975</xdr:colOff>
      <xdr:row>28</xdr:row>
      <xdr:rowOff>114300</xdr:rowOff>
    </xdr:from>
    <xdr:to>
      <xdr:col>7</xdr:col>
      <xdr:colOff>66675</xdr:colOff>
      <xdr:row>29</xdr:row>
      <xdr:rowOff>66675</xdr:rowOff>
    </xdr:to>
    <xdr:sp macro="" textlink="">
      <xdr:nvSpPr>
        <xdr:cNvPr id="32" name="Flowchart: Connector 31">
          <a:extLst>
            <a:ext uri="{FF2B5EF4-FFF2-40B4-BE49-F238E27FC236}">
              <a16:creationId xmlns:a16="http://schemas.microsoft.com/office/drawing/2014/main" xmlns="" id="{E0A9E48D-BD08-4798-BA4A-622115EEE232}"/>
            </a:ext>
          </a:extLst>
        </xdr:cNvPr>
        <xdr:cNvSpPr/>
      </xdr:nvSpPr>
      <xdr:spPr>
        <a:xfrm>
          <a:off x="5410200" y="5467350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374657</xdr:colOff>
      <xdr:row>33</xdr:row>
      <xdr:rowOff>48273</xdr:rowOff>
    </xdr:from>
    <xdr:to>
      <xdr:col>9</xdr:col>
      <xdr:colOff>574671</xdr:colOff>
      <xdr:row>34</xdr:row>
      <xdr:rowOff>153396</xdr:rowOff>
    </xdr:to>
    <xdr:sp macro="" textlink="">
      <xdr:nvSpPr>
        <xdr:cNvPr id="33" name="Arrow: Down 32">
          <a:extLst>
            <a:ext uri="{FF2B5EF4-FFF2-40B4-BE49-F238E27FC236}">
              <a16:creationId xmlns:a16="http://schemas.microsoft.com/office/drawing/2014/main" xmlns="" id="{7BA8D8CA-6F29-4931-B4FE-D774F7D41C5A}"/>
            </a:ext>
          </a:extLst>
        </xdr:cNvPr>
        <xdr:cNvSpPr/>
      </xdr:nvSpPr>
      <xdr:spPr>
        <a:xfrm rot="5400000" flipH="1">
          <a:off x="7032452" y="6401628"/>
          <a:ext cx="295623" cy="2000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22232</xdr:colOff>
      <xdr:row>32</xdr:row>
      <xdr:rowOff>172098</xdr:rowOff>
    </xdr:from>
    <xdr:to>
      <xdr:col>7</xdr:col>
      <xdr:colOff>222246</xdr:colOff>
      <xdr:row>34</xdr:row>
      <xdr:rowOff>86721</xdr:rowOff>
    </xdr:to>
    <xdr:sp macro="" textlink="">
      <xdr:nvSpPr>
        <xdr:cNvPr id="34" name="Arrow: Down 33">
          <a:extLst>
            <a:ext uri="{FF2B5EF4-FFF2-40B4-BE49-F238E27FC236}">
              <a16:creationId xmlns:a16="http://schemas.microsoft.com/office/drawing/2014/main" xmlns="" id="{B6E14A54-B82C-49AA-9FA4-533B6EE7EB43}"/>
            </a:ext>
          </a:extLst>
        </xdr:cNvPr>
        <xdr:cNvSpPr/>
      </xdr:nvSpPr>
      <xdr:spPr>
        <a:xfrm rot="15990531" flipH="1">
          <a:off x="5460827" y="6334953"/>
          <a:ext cx="295623" cy="20001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523457</xdr:colOff>
      <xdr:row>35</xdr:row>
      <xdr:rowOff>123824</xdr:rowOff>
    </xdr:from>
    <xdr:to>
      <xdr:col>8</xdr:col>
      <xdr:colOff>152400</xdr:colOff>
      <xdr:row>36</xdr:row>
      <xdr:rowOff>185498</xdr:rowOff>
    </xdr:to>
    <xdr:sp macro="" textlink="">
      <xdr:nvSpPr>
        <xdr:cNvPr id="35" name="Arrow: Down 34">
          <a:extLst>
            <a:ext uri="{FF2B5EF4-FFF2-40B4-BE49-F238E27FC236}">
              <a16:creationId xmlns:a16="http://schemas.microsoft.com/office/drawing/2014/main" xmlns="" id="{F253592A-C20F-4499-A60F-69BCB39F865D}"/>
            </a:ext>
          </a:extLst>
        </xdr:cNvPr>
        <xdr:cNvSpPr/>
      </xdr:nvSpPr>
      <xdr:spPr>
        <a:xfrm rot="10800000" flipH="1">
          <a:off x="6009857" y="6810374"/>
          <a:ext cx="238543" cy="25217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295275</xdr:colOff>
      <xdr:row>31</xdr:row>
      <xdr:rowOff>28575</xdr:rowOff>
    </xdr:from>
    <xdr:to>
      <xdr:col>9</xdr:col>
      <xdr:colOff>438150</xdr:colOff>
      <xdr:row>31</xdr:row>
      <xdr:rowOff>171450</xdr:rowOff>
    </xdr:to>
    <xdr:sp macro="" textlink="">
      <xdr:nvSpPr>
        <xdr:cNvPr id="36" name="Flowchart: Connector 35">
          <a:extLst>
            <a:ext uri="{FF2B5EF4-FFF2-40B4-BE49-F238E27FC236}">
              <a16:creationId xmlns:a16="http://schemas.microsoft.com/office/drawing/2014/main" xmlns="" id="{35D5C947-F0AF-4FA3-984A-48EF0772A01C}"/>
            </a:ext>
          </a:extLst>
        </xdr:cNvPr>
        <xdr:cNvSpPr/>
      </xdr:nvSpPr>
      <xdr:spPr>
        <a:xfrm>
          <a:off x="7115175" y="5953125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542925</xdr:colOff>
      <xdr:row>32</xdr:row>
      <xdr:rowOff>133350</xdr:rowOff>
    </xdr:from>
    <xdr:to>
      <xdr:col>10</xdr:col>
      <xdr:colOff>76200</xdr:colOff>
      <xdr:row>33</xdr:row>
      <xdr:rowOff>85725</xdr:rowOff>
    </xdr:to>
    <xdr:sp macro="" textlink="">
      <xdr:nvSpPr>
        <xdr:cNvPr id="37" name="Flowchart: Connector 36">
          <a:extLst>
            <a:ext uri="{FF2B5EF4-FFF2-40B4-BE49-F238E27FC236}">
              <a16:creationId xmlns:a16="http://schemas.microsoft.com/office/drawing/2014/main" xmlns="" id="{BD02F835-6C1D-4654-9F3C-DC75A840D9E5}"/>
            </a:ext>
          </a:extLst>
        </xdr:cNvPr>
        <xdr:cNvSpPr/>
      </xdr:nvSpPr>
      <xdr:spPr>
        <a:xfrm>
          <a:off x="7248525" y="6248400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542925</xdr:colOff>
      <xdr:row>36</xdr:row>
      <xdr:rowOff>114300</xdr:rowOff>
    </xdr:from>
    <xdr:to>
      <xdr:col>10</xdr:col>
      <xdr:colOff>76200</xdr:colOff>
      <xdr:row>37</xdr:row>
      <xdr:rowOff>66675</xdr:rowOff>
    </xdr:to>
    <xdr:sp macro="" textlink="">
      <xdr:nvSpPr>
        <xdr:cNvPr id="38" name="Flowchart: Connector 37">
          <a:extLst>
            <a:ext uri="{FF2B5EF4-FFF2-40B4-BE49-F238E27FC236}">
              <a16:creationId xmlns:a16="http://schemas.microsoft.com/office/drawing/2014/main" xmlns="" id="{8A6E1CED-70F9-4974-87FA-0252F4660F50}"/>
            </a:ext>
          </a:extLst>
        </xdr:cNvPr>
        <xdr:cNvSpPr/>
      </xdr:nvSpPr>
      <xdr:spPr>
        <a:xfrm>
          <a:off x="7248525" y="6991350"/>
          <a:ext cx="142875" cy="142875"/>
        </a:xfrm>
        <a:prstGeom prst="flowChartConnector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4" name="Rectangle 23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228596</xdr:colOff>
      <xdr:row>19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971551</xdr:colOff>
      <xdr:row>27</xdr:row>
      <xdr:rowOff>133349</xdr:rowOff>
    </xdr:from>
    <xdr:to>
      <xdr:col>2</xdr:col>
      <xdr:colOff>542926</xdr:colOff>
      <xdr:row>28</xdr:row>
      <xdr:rowOff>161924</xdr:rowOff>
    </xdr:to>
    <xdr:cxnSp macro="">
      <xdr:nvCxnSpPr>
        <xdr:cNvPr id="3" name="Connector: Curved 2">
          <a:extLst>
            <a:ext uri="{FF2B5EF4-FFF2-40B4-BE49-F238E27FC236}">
              <a16:creationId xmlns:a16="http://schemas.microsoft.com/office/drawing/2014/main" xmlns="" id="{80565BC6-23C5-7A20-A993-08A18ECE947A}"/>
            </a:ext>
          </a:extLst>
        </xdr:cNvPr>
        <xdr:cNvCxnSpPr/>
      </xdr:nvCxnSpPr>
      <xdr:spPr>
        <a:xfrm rot="10800000" flipV="1">
          <a:off x="2066926" y="5295899"/>
          <a:ext cx="733425" cy="219075"/>
        </a:xfrm>
        <a:prstGeom prst="curved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981075</xdr:colOff>
      <xdr:row>27</xdr:row>
      <xdr:rowOff>123822</xdr:rowOff>
    </xdr:from>
    <xdr:to>
      <xdr:col>3</xdr:col>
      <xdr:colOff>533402</xdr:colOff>
      <xdr:row>29</xdr:row>
      <xdr:rowOff>152399</xdr:rowOff>
    </xdr:to>
    <xdr:cxnSp macro="">
      <xdr:nvCxnSpPr>
        <xdr:cNvPr id="4" name="Connector: Curved 3">
          <a:extLst>
            <a:ext uri="{FF2B5EF4-FFF2-40B4-BE49-F238E27FC236}">
              <a16:creationId xmlns:a16="http://schemas.microsoft.com/office/drawing/2014/main" xmlns="" id="{31B686C8-5879-4D2E-98D0-34F0CA0DEC8F}"/>
            </a:ext>
          </a:extLst>
        </xdr:cNvPr>
        <xdr:cNvCxnSpPr/>
      </xdr:nvCxnSpPr>
      <xdr:spPr>
        <a:xfrm rot="10800000" flipV="1">
          <a:off x="2076450" y="5286372"/>
          <a:ext cx="1657352" cy="409577"/>
        </a:xfrm>
        <a:prstGeom prst="curvedConnector3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628654</xdr:colOff>
      <xdr:row>25</xdr:row>
      <xdr:rowOff>295274</xdr:rowOff>
    </xdr:from>
    <xdr:to>
      <xdr:col>2</xdr:col>
      <xdr:colOff>628650</xdr:colOff>
      <xdr:row>26</xdr:row>
      <xdr:rowOff>114297</xdr:rowOff>
    </xdr:to>
    <xdr:cxnSp macro="">
      <xdr:nvCxnSpPr>
        <xdr:cNvPr id="6" name="Connector: Curved 5">
          <a:extLst>
            <a:ext uri="{FF2B5EF4-FFF2-40B4-BE49-F238E27FC236}">
              <a16:creationId xmlns:a16="http://schemas.microsoft.com/office/drawing/2014/main" xmlns="" id="{FD23FF1E-8DF7-4252-BC76-013E3C90C7BB}"/>
            </a:ext>
          </a:extLst>
        </xdr:cNvPr>
        <xdr:cNvCxnSpPr/>
      </xdr:nvCxnSpPr>
      <xdr:spPr>
        <a:xfrm rot="10800000" flipV="1">
          <a:off x="1619254" y="5086349"/>
          <a:ext cx="761996" cy="200023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638178</xdr:colOff>
      <xdr:row>25</xdr:row>
      <xdr:rowOff>304799</xdr:rowOff>
    </xdr:from>
    <xdr:to>
      <xdr:col>3</xdr:col>
      <xdr:colOff>609601</xdr:colOff>
      <xdr:row>27</xdr:row>
      <xdr:rowOff>123824</xdr:rowOff>
    </xdr:to>
    <xdr:cxnSp macro="">
      <xdr:nvCxnSpPr>
        <xdr:cNvPr id="7" name="Connector: Curved 6">
          <a:extLst>
            <a:ext uri="{FF2B5EF4-FFF2-40B4-BE49-F238E27FC236}">
              <a16:creationId xmlns:a16="http://schemas.microsoft.com/office/drawing/2014/main" xmlns="" id="{D2E334F0-3A28-4248-8477-7F1DC4263E82}"/>
            </a:ext>
          </a:extLst>
        </xdr:cNvPr>
        <xdr:cNvCxnSpPr/>
      </xdr:nvCxnSpPr>
      <xdr:spPr>
        <a:xfrm rot="10800000" flipV="1">
          <a:off x="1628778" y="5095874"/>
          <a:ext cx="1457323" cy="390525"/>
        </a:xfrm>
        <a:prstGeom prst="curvedConnector3">
          <a:avLst>
            <a:gd name="adj1" fmla="val 50000"/>
          </a:avLst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8" name="Rectangle 7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21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60960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9</xdr:row>
      <xdr:rowOff>171450</xdr:rowOff>
    </xdr:from>
    <xdr:to>
      <xdr:col>3</xdr:col>
      <xdr:colOff>600075</xdr:colOff>
      <xdr:row>14</xdr:row>
      <xdr:rowOff>85725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D01F48E8-7610-93EF-09B6-BF006ADEFA06}"/>
            </a:ext>
          </a:extLst>
        </xdr:cNvPr>
        <xdr:cNvSpPr/>
      </xdr:nvSpPr>
      <xdr:spPr>
        <a:xfrm>
          <a:off x="1209675" y="1885950"/>
          <a:ext cx="1219200" cy="866775"/>
        </a:xfrm>
        <a:prstGeom prst="rect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800"/>
            <a:t>Crude Oil</a:t>
          </a:r>
        </a:p>
      </xdr:txBody>
    </xdr:sp>
    <xdr:clientData/>
  </xdr:twoCellAnchor>
  <xdr:twoCellAnchor>
    <xdr:from>
      <xdr:col>2</xdr:col>
      <xdr:colOff>438150</xdr:colOff>
      <xdr:row>5</xdr:row>
      <xdr:rowOff>152400</xdr:rowOff>
    </xdr:from>
    <xdr:to>
      <xdr:col>6</xdr:col>
      <xdr:colOff>9525</xdr:colOff>
      <xdr:row>11</xdr:row>
      <xdr:rowOff>28575</xdr:rowOff>
    </xdr:to>
    <xdr:sp macro="" textlink="">
      <xdr:nvSpPr>
        <xdr:cNvPr id="3" name="Arrow: Bent 2">
          <a:extLst>
            <a:ext uri="{FF2B5EF4-FFF2-40B4-BE49-F238E27FC236}">
              <a16:creationId xmlns:a16="http://schemas.microsoft.com/office/drawing/2014/main" xmlns="" id="{A677EA2E-72C3-8A30-B7B8-732D074B4783}"/>
            </a:ext>
          </a:extLst>
        </xdr:cNvPr>
        <xdr:cNvSpPr/>
      </xdr:nvSpPr>
      <xdr:spPr>
        <a:xfrm>
          <a:off x="1657350" y="1104900"/>
          <a:ext cx="2009775" cy="1019175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38100</xdr:colOff>
      <xdr:row>3</xdr:row>
      <xdr:rowOff>123826</xdr:rowOff>
    </xdr:from>
    <xdr:to>
      <xdr:col>9</xdr:col>
      <xdr:colOff>285750</xdr:colOff>
      <xdr:row>10</xdr:row>
      <xdr:rowOff>104776</xdr:rowOff>
    </xdr:to>
    <xdr:sp macro="" textlink="">
      <xdr:nvSpPr>
        <xdr:cNvPr id="4" name="Rectangle: Beveled 3">
          <a:extLst>
            <a:ext uri="{FF2B5EF4-FFF2-40B4-BE49-F238E27FC236}">
              <a16:creationId xmlns:a16="http://schemas.microsoft.com/office/drawing/2014/main" xmlns="" id="{4224AA75-A659-297C-CE89-B122F0212543}"/>
            </a:ext>
          </a:extLst>
        </xdr:cNvPr>
        <xdr:cNvSpPr/>
      </xdr:nvSpPr>
      <xdr:spPr>
        <a:xfrm>
          <a:off x="3695700" y="695326"/>
          <a:ext cx="2076450" cy="1314450"/>
        </a:xfrm>
        <a:prstGeom prst="bevel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600">
              <a:latin typeface="+mn-lt"/>
            </a:rPr>
            <a:t>Common Process / Joint cost</a:t>
          </a:r>
        </a:p>
      </xdr:txBody>
    </xdr:sp>
    <xdr:clientData/>
  </xdr:twoCellAnchor>
  <xdr:twoCellAnchor>
    <xdr:from>
      <xdr:col>9</xdr:col>
      <xdr:colOff>514350</xdr:colOff>
      <xdr:row>5</xdr:row>
      <xdr:rowOff>38100</xdr:rowOff>
    </xdr:from>
    <xdr:to>
      <xdr:col>11</xdr:col>
      <xdr:colOff>590550</xdr:colOff>
      <xdr:row>5</xdr:row>
      <xdr:rowOff>152400</xdr:rowOff>
    </xdr:to>
    <xdr:sp macro="" textlink="">
      <xdr:nvSpPr>
        <xdr:cNvPr id="5" name="Arrow: Right 4">
          <a:extLst>
            <a:ext uri="{FF2B5EF4-FFF2-40B4-BE49-F238E27FC236}">
              <a16:creationId xmlns:a16="http://schemas.microsoft.com/office/drawing/2014/main" xmlns="" id="{B1E93C18-ED4D-1BE4-817D-0638BF29B240}"/>
            </a:ext>
          </a:extLst>
        </xdr:cNvPr>
        <xdr:cNvSpPr/>
      </xdr:nvSpPr>
      <xdr:spPr>
        <a:xfrm>
          <a:off x="6000750" y="990600"/>
          <a:ext cx="1295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495300</xdr:colOff>
      <xdr:row>7</xdr:row>
      <xdr:rowOff>0</xdr:rowOff>
    </xdr:from>
    <xdr:to>
      <xdr:col>11</xdr:col>
      <xdr:colOff>571500</xdr:colOff>
      <xdr:row>7</xdr:row>
      <xdr:rowOff>114300</xdr:rowOff>
    </xdr:to>
    <xdr:sp macro="" textlink="">
      <xdr:nvSpPr>
        <xdr:cNvPr id="6" name="Arrow: Right 5">
          <a:extLst>
            <a:ext uri="{FF2B5EF4-FFF2-40B4-BE49-F238E27FC236}">
              <a16:creationId xmlns:a16="http://schemas.microsoft.com/office/drawing/2014/main" xmlns="" id="{A05FBFBB-F666-4445-85A9-BBCD7C12CE0F}"/>
            </a:ext>
          </a:extLst>
        </xdr:cNvPr>
        <xdr:cNvSpPr/>
      </xdr:nvSpPr>
      <xdr:spPr>
        <a:xfrm>
          <a:off x="5981700" y="1333500"/>
          <a:ext cx="1295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495300</xdr:colOff>
      <xdr:row>8</xdr:row>
      <xdr:rowOff>171450</xdr:rowOff>
    </xdr:from>
    <xdr:to>
      <xdr:col>11</xdr:col>
      <xdr:colOff>571500</xdr:colOff>
      <xdr:row>9</xdr:row>
      <xdr:rowOff>95250</xdr:rowOff>
    </xdr:to>
    <xdr:sp macro="" textlink="">
      <xdr:nvSpPr>
        <xdr:cNvPr id="7" name="Arrow: Right 6">
          <a:extLst>
            <a:ext uri="{FF2B5EF4-FFF2-40B4-BE49-F238E27FC236}">
              <a16:creationId xmlns:a16="http://schemas.microsoft.com/office/drawing/2014/main" xmlns="" id="{DCD976AC-2E82-4163-A1AC-271DB97C0961}"/>
            </a:ext>
          </a:extLst>
        </xdr:cNvPr>
        <xdr:cNvSpPr/>
      </xdr:nvSpPr>
      <xdr:spPr>
        <a:xfrm>
          <a:off x="5981700" y="1695450"/>
          <a:ext cx="1295400" cy="1143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47625</xdr:colOff>
      <xdr:row>4</xdr:row>
      <xdr:rowOff>104775</xdr:rowOff>
    </xdr:from>
    <xdr:to>
      <xdr:col>17</xdr:col>
      <xdr:colOff>161925</xdr:colOff>
      <xdr:row>6</xdr:row>
      <xdr:rowOff>28575</xdr:rowOff>
    </xdr:to>
    <xdr:sp macro="" textlink="">
      <xdr:nvSpPr>
        <xdr:cNvPr id="9" name="Rectangle: Beveled 8">
          <a:extLst>
            <a:ext uri="{FF2B5EF4-FFF2-40B4-BE49-F238E27FC236}">
              <a16:creationId xmlns:a16="http://schemas.microsoft.com/office/drawing/2014/main" xmlns="" id="{A05BF10D-6497-4916-9CBB-268C599E7E57}"/>
            </a:ext>
          </a:extLst>
        </xdr:cNvPr>
        <xdr:cNvSpPr/>
      </xdr:nvSpPr>
      <xdr:spPr>
        <a:xfrm>
          <a:off x="8582025" y="866775"/>
          <a:ext cx="1943100" cy="304800"/>
        </a:xfrm>
        <a:prstGeom prst="bevel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600">
              <a:latin typeface="+mn-lt"/>
            </a:rPr>
            <a:t>Further Process</a:t>
          </a:r>
        </a:p>
      </xdr:txBody>
    </xdr:sp>
    <xdr:clientData/>
  </xdr:twoCellAnchor>
  <xdr:twoCellAnchor>
    <xdr:from>
      <xdr:col>14</xdr:col>
      <xdr:colOff>57150</xdr:colOff>
      <xdr:row>6</xdr:row>
      <xdr:rowOff>85725</xdr:rowOff>
    </xdr:from>
    <xdr:to>
      <xdr:col>17</xdr:col>
      <xdr:colOff>171450</xdr:colOff>
      <xdr:row>8</xdr:row>
      <xdr:rowOff>9525</xdr:rowOff>
    </xdr:to>
    <xdr:sp macro="" textlink="">
      <xdr:nvSpPr>
        <xdr:cNvPr id="10" name="Rectangle: Beveled 9">
          <a:extLst>
            <a:ext uri="{FF2B5EF4-FFF2-40B4-BE49-F238E27FC236}">
              <a16:creationId xmlns:a16="http://schemas.microsoft.com/office/drawing/2014/main" xmlns="" id="{E837B7CA-600E-4EAC-A514-2050256CF189}"/>
            </a:ext>
          </a:extLst>
        </xdr:cNvPr>
        <xdr:cNvSpPr/>
      </xdr:nvSpPr>
      <xdr:spPr>
        <a:xfrm>
          <a:off x="8591550" y="1228725"/>
          <a:ext cx="1943100" cy="304800"/>
        </a:xfrm>
        <a:prstGeom prst="bevel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600">
              <a:latin typeface="+mn-lt"/>
            </a:rPr>
            <a:t>Further Process</a:t>
          </a:r>
        </a:p>
      </xdr:txBody>
    </xdr:sp>
    <xdr:clientData/>
  </xdr:twoCellAnchor>
  <xdr:twoCellAnchor>
    <xdr:from>
      <xdr:col>14</xdr:col>
      <xdr:colOff>57150</xdr:colOff>
      <xdr:row>8</xdr:row>
      <xdr:rowOff>85725</xdr:rowOff>
    </xdr:from>
    <xdr:to>
      <xdr:col>17</xdr:col>
      <xdr:colOff>171450</xdr:colOff>
      <xdr:row>10</xdr:row>
      <xdr:rowOff>9525</xdr:rowOff>
    </xdr:to>
    <xdr:sp macro="" textlink="">
      <xdr:nvSpPr>
        <xdr:cNvPr id="11" name="Rectangle: Beveled 10">
          <a:extLst>
            <a:ext uri="{FF2B5EF4-FFF2-40B4-BE49-F238E27FC236}">
              <a16:creationId xmlns:a16="http://schemas.microsoft.com/office/drawing/2014/main" xmlns="" id="{1F4B6ED1-54B7-492A-B409-BD596CE42927}"/>
            </a:ext>
          </a:extLst>
        </xdr:cNvPr>
        <xdr:cNvSpPr/>
      </xdr:nvSpPr>
      <xdr:spPr>
        <a:xfrm>
          <a:off x="8591550" y="1609725"/>
          <a:ext cx="1943100" cy="304800"/>
        </a:xfrm>
        <a:prstGeom prst="bevel">
          <a:avLst/>
        </a:prstGeom>
        <a:solidFill>
          <a:schemeClr val="accent2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US" sz="1600">
              <a:latin typeface="+mn-lt"/>
            </a:rPr>
            <a:t>Further Process</a:t>
          </a:r>
        </a:p>
      </xdr:txBody>
    </xdr:sp>
    <xdr:clientData/>
  </xdr:twoCellAnchor>
  <xdr:twoCellAnchor>
    <xdr:from>
      <xdr:col>17</xdr:col>
      <xdr:colOff>209550</xdr:colOff>
      <xdr:row>5</xdr:row>
      <xdr:rowOff>38100</xdr:rowOff>
    </xdr:from>
    <xdr:to>
      <xdr:col>18</xdr:col>
      <xdr:colOff>333375</xdr:colOff>
      <xdr:row>5</xdr:row>
      <xdr:rowOff>133350</xdr:rowOff>
    </xdr:to>
    <xdr:sp macro="" textlink="">
      <xdr:nvSpPr>
        <xdr:cNvPr id="12" name="Arrow: Right 11">
          <a:extLst>
            <a:ext uri="{FF2B5EF4-FFF2-40B4-BE49-F238E27FC236}">
              <a16:creationId xmlns:a16="http://schemas.microsoft.com/office/drawing/2014/main" xmlns="" id="{B321013B-B2BD-4496-A8A7-1CA012E1F90A}"/>
            </a:ext>
          </a:extLst>
        </xdr:cNvPr>
        <xdr:cNvSpPr/>
      </xdr:nvSpPr>
      <xdr:spPr>
        <a:xfrm>
          <a:off x="10572750" y="990600"/>
          <a:ext cx="7334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209550</xdr:colOff>
      <xdr:row>7</xdr:row>
      <xdr:rowOff>47625</xdr:rowOff>
    </xdr:from>
    <xdr:to>
      <xdr:col>18</xdr:col>
      <xdr:colOff>333375</xdr:colOff>
      <xdr:row>7</xdr:row>
      <xdr:rowOff>142875</xdr:rowOff>
    </xdr:to>
    <xdr:sp macro="" textlink="">
      <xdr:nvSpPr>
        <xdr:cNvPr id="13" name="Arrow: Right 12">
          <a:extLst>
            <a:ext uri="{FF2B5EF4-FFF2-40B4-BE49-F238E27FC236}">
              <a16:creationId xmlns:a16="http://schemas.microsoft.com/office/drawing/2014/main" xmlns="" id="{60B910D0-F0DE-4577-A15D-659EE29FBC3E}"/>
            </a:ext>
          </a:extLst>
        </xdr:cNvPr>
        <xdr:cNvSpPr/>
      </xdr:nvSpPr>
      <xdr:spPr>
        <a:xfrm>
          <a:off x="10572750" y="1381125"/>
          <a:ext cx="7334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219075</xdr:colOff>
      <xdr:row>9</xdr:row>
      <xdr:rowOff>28575</xdr:rowOff>
    </xdr:from>
    <xdr:to>
      <xdr:col>18</xdr:col>
      <xdr:colOff>342900</xdr:colOff>
      <xdr:row>9</xdr:row>
      <xdr:rowOff>123825</xdr:rowOff>
    </xdr:to>
    <xdr:sp macro="" textlink="">
      <xdr:nvSpPr>
        <xdr:cNvPr id="14" name="Arrow: Right 13">
          <a:extLst>
            <a:ext uri="{FF2B5EF4-FFF2-40B4-BE49-F238E27FC236}">
              <a16:creationId xmlns:a16="http://schemas.microsoft.com/office/drawing/2014/main" xmlns="" id="{3FE6A1B3-7522-470D-83E7-32905D3DA389}"/>
            </a:ext>
          </a:extLst>
        </xdr:cNvPr>
        <xdr:cNvSpPr/>
      </xdr:nvSpPr>
      <xdr:spPr>
        <a:xfrm>
          <a:off x="10582275" y="1743075"/>
          <a:ext cx="7334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15" name="Rectangle 14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266696</xdr:colOff>
      <xdr:row>19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514348</xdr:colOff>
      <xdr:row>5</xdr:row>
      <xdr:rowOff>95249</xdr:rowOff>
    </xdr:from>
    <xdr:to>
      <xdr:col>4</xdr:col>
      <xdr:colOff>485775</xdr:colOff>
      <xdr:row>12</xdr:row>
      <xdr:rowOff>47624</xdr:rowOff>
    </xdr:to>
    <xdr:sp macro="" textlink="">
      <xdr:nvSpPr>
        <xdr:cNvPr id="2" name="Smiley Face 1">
          <a:extLst>
            <a:ext uri="{FF2B5EF4-FFF2-40B4-BE49-F238E27FC236}">
              <a16:creationId xmlns:a16="http://schemas.microsoft.com/office/drawing/2014/main" xmlns="" id="{11A414B2-6D77-1316-E4B5-C928A1C81E11}"/>
            </a:ext>
          </a:extLst>
        </xdr:cNvPr>
        <xdr:cNvSpPr/>
      </xdr:nvSpPr>
      <xdr:spPr>
        <a:xfrm>
          <a:off x="6962773" y="857249"/>
          <a:ext cx="1800227" cy="128587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Impeller</a:t>
          </a:r>
        </a:p>
      </xdr:txBody>
    </xdr:sp>
    <xdr:clientData/>
  </xdr:twoCellAnchor>
  <xdr:twoCellAnchor>
    <xdr:from>
      <xdr:col>7</xdr:col>
      <xdr:colOff>209548</xdr:colOff>
      <xdr:row>5</xdr:row>
      <xdr:rowOff>57149</xdr:rowOff>
    </xdr:from>
    <xdr:to>
      <xdr:col>10</xdr:col>
      <xdr:colOff>180975</xdr:colOff>
      <xdr:row>12</xdr:row>
      <xdr:rowOff>9524</xdr:rowOff>
    </xdr:to>
    <xdr:sp macro="" textlink="">
      <xdr:nvSpPr>
        <xdr:cNvPr id="3" name="Smiley Face 2">
          <a:extLst>
            <a:ext uri="{FF2B5EF4-FFF2-40B4-BE49-F238E27FC236}">
              <a16:creationId xmlns:a16="http://schemas.microsoft.com/office/drawing/2014/main" xmlns="" id="{E1FEBCC5-1EA4-4332-B826-06120061BDEF}"/>
            </a:ext>
          </a:extLst>
        </xdr:cNvPr>
        <xdr:cNvSpPr/>
      </xdr:nvSpPr>
      <xdr:spPr>
        <a:xfrm>
          <a:off x="10315573" y="819149"/>
          <a:ext cx="1800227" cy="1285875"/>
        </a:xfrm>
        <a:prstGeom prst="smileyFac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Pump</a:t>
          </a:r>
        </a:p>
      </xdr:txBody>
    </xdr:sp>
    <xdr:clientData/>
  </xdr:twoCellAnchor>
  <xdr:twoCellAnchor>
    <xdr:from>
      <xdr:col>3</xdr:col>
      <xdr:colOff>447675</xdr:colOff>
      <xdr:row>0</xdr:row>
      <xdr:rowOff>47625</xdr:rowOff>
    </xdr:from>
    <xdr:to>
      <xdr:col>8</xdr:col>
      <xdr:colOff>619125</xdr:colOff>
      <xdr:row>5</xdr:row>
      <xdr:rowOff>57150</xdr:rowOff>
    </xdr:to>
    <xdr:sp macro="" textlink="">
      <xdr:nvSpPr>
        <xdr:cNvPr id="4" name="Arrow: Curved Down 3">
          <a:extLst>
            <a:ext uri="{FF2B5EF4-FFF2-40B4-BE49-F238E27FC236}">
              <a16:creationId xmlns:a16="http://schemas.microsoft.com/office/drawing/2014/main" xmlns="" id="{F3E1FAE6-08AC-DA4D-95D6-5319E9998EF7}"/>
            </a:ext>
          </a:extLst>
        </xdr:cNvPr>
        <xdr:cNvSpPr/>
      </xdr:nvSpPr>
      <xdr:spPr>
        <a:xfrm>
          <a:off x="2628900" y="47625"/>
          <a:ext cx="3695700" cy="962025"/>
        </a:xfrm>
        <a:prstGeom prst="curvedDownArrow">
          <a:avLst/>
        </a:prstGeom>
        <a:solidFill>
          <a:schemeClr val="accent2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76200</xdr:colOff>
      <xdr:row>0</xdr:row>
      <xdr:rowOff>123825</xdr:rowOff>
    </xdr:from>
    <xdr:to>
      <xdr:col>12</xdr:col>
      <xdr:colOff>561975</xdr:colOff>
      <xdr:row>5</xdr:row>
      <xdr:rowOff>123825</xdr:rowOff>
    </xdr:to>
    <xdr:sp macro="" textlink="">
      <xdr:nvSpPr>
        <xdr:cNvPr id="5" name="Arrow: Curved Down 4">
          <a:extLst>
            <a:ext uri="{FF2B5EF4-FFF2-40B4-BE49-F238E27FC236}">
              <a16:creationId xmlns:a16="http://schemas.microsoft.com/office/drawing/2014/main" xmlns="" id="{555794AF-9A87-C784-8412-986B406F2123}"/>
            </a:ext>
          </a:extLst>
        </xdr:cNvPr>
        <xdr:cNvSpPr/>
      </xdr:nvSpPr>
      <xdr:spPr>
        <a:xfrm flipH="1">
          <a:off x="7686675" y="123825"/>
          <a:ext cx="3352800" cy="952500"/>
        </a:xfrm>
        <a:prstGeom prst="curvedDownArrow">
          <a:avLst/>
        </a:prstGeom>
        <a:solidFill>
          <a:schemeClr val="accent6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6" name="Rectangle 5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942975</xdr:colOff>
      <xdr:row>7</xdr:row>
      <xdr:rowOff>66675</xdr:rowOff>
    </xdr:from>
    <xdr:to>
      <xdr:col>4</xdr:col>
      <xdr:colOff>952500</xdr:colOff>
      <xdr:row>11</xdr:row>
      <xdr:rowOff>161925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xmlns="" id="{103EFE5D-2044-D973-6DF2-054E9DA907A6}"/>
            </a:ext>
          </a:extLst>
        </xdr:cNvPr>
        <xdr:cNvCxnSpPr/>
      </xdr:nvCxnSpPr>
      <xdr:spPr>
        <a:xfrm flipH="1" flipV="1">
          <a:off x="6648450" y="1400175"/>
          <a:ext cx="9525" cy="885825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4" name="Rectangle 3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571496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590546</xdr:colOff>
      <xdr:row>19</xdr:row>
      <xdr:rowOff>95250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371471</xdr:colOff>
      <xdr:row>19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390521</xdr:colOff>
      <xdr:row>19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20</xdr:col>
      <xdr:colOff>209546</xdr:colOff>
      <xdr:row>19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17</xdr:col>
      <xdr:colOff>228596</xdr:colOff>
      <xdr:row>19</xdr:row>
      <xdr:rowOff>19050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219071</xdr:colOff>
      <xdr:row>19</xdr:row>
      <xdr:rowOff>76200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18</xdr:col>
      <xdr:colOff>76196</xdr:colOff>
      <xdr:row>19</xdr:row>
      <xdr:rowOff>66675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35"/>
  <sheetViews>
    <sheetView workbookViewId="0">
      <selection activeCell="A21" sqref="A21"/>
    </sheetView>
  </sheetViews>
  <sheetFormatPr defaultRowHeight="15" x14ac:dyDescent="0.25"/>
  <cols>
    <col min="1" max="1" width="23.140625" bestFit="1" customWidth="1"/>
    <col min="2" max="2" width="13.28515625" bestFit="1" customWidth="1"/>
    <col min="3" max="3" width="26.7109375" customWidth="1"/>
    <col min="4" max="5" width="11.7109375" bestFit="1" customWidth="1"/>
    <col min="6" max="6" width="15.42578125" customWidth="1"/>
    <col min="7" max="7" width="11.5703125" bestFit="1" customWidth="1"/>
    <col min="8" max="8" width="13.28515625" bestFit="1" customWidth="1"/>
  </cols>
  <sheetData>
    <row r="3" spans="1:11" x14ac:dyDescent="0.25"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  <c r="H3" t="s">
        <v>6</v>
      </c>
    </row>
    <row r="4" spans="1:11" x14ac:dyDescent="0.25">
      <c r="A4" t="s">
        <v>7</v>
      </c>
      <c r="B4" s="1"/>
      <c r="C4" s="1"/>
      <c r="D4" s="1"/>
      <c r="E4" s="1"/>
      <c r="F4" s="1"/>
      <c r="G4" s="1"/>
      <c r="H4" s="1"/>
      <c r="I4" t="s">
        <v>9</v>
      </c>
    </row>
    <row r="5" spans="1:11" x14ac:dyDescent="0.25">
      <c r="B5" s="2">
        <v>0</v>
      </c>
      <c r="C5" s="3">
        <v>350000</v>
      </c>
      <c r="D5" s="3">
        <v>500000</v>
      </c>
      <c r="E5" s="3">
        <v>600000</v>
      </c>
      <c r="F5" s="3">
        <v>725000</v>
      </c>
      <c r="G5" s="3">
        <v>850000</v>
      </c>
      <c r="H5" s="3">
        <v>1000000</v>
      </c>
    </row>
    <row r="8" spans="1:11" x14ac:dyDescent="0.25">
      <c r="B8" t="s">
        <v>0</v>
      </c>
      <c r="C8" t="s">
        <v>1</v>
      </c>
      <c r="D8" t="s">
        <v>2</v>
      </c>
      <c r="E8" t="s">
        <v>3</v>
      </c>
      <c r="F8" t="s">
        <v>4</v>
      </c>
      <c r="G8" t="s">
        <v>5</v>
      </c>
      <c r="H8" t="s">
        <v>6</v>
      </c>
    </row>
    <row r="9" spans="1:11" x14ac:dyDescent="0.25">
      <c r="A9" t="s">
        <v>8</v>
      </c>
      <c r="B9" s="1"/>
      <c r="C9" s="1"/>
      <c r="D9" s="1"/>
      <c r="E9" s="1"/>
      <c r="F9" s="1"/>
      <c r="G9" s="1"/>
      <c r="H9" s="1"/>
      <c r="I9" t="s">
        <v>10</v>
      </c>
    </row>
    <row r="10" spans="1:11" x14ac:dyDescent="0.25">
      <c r="B10" s="4">
        <v>1000000</v>
      </c>
      <c r="C10" s="3"/>
      <c r="D10" s="3"/>
      <c r="E10" s="3"/>
      <c r="F10" s="3"/>
      <c r="G10" s="3"/>
      <c r="H10" s="3">
        <v>0</v>
      </c>
    </row>
    <row r="11" spans="1:11" x14ac:dyDescent="0.25">
      <c r="B11" s="3">
        <v>1000000</v>
      </c>
      <c r="C11" s="3">
        <v>650000</v>
      </c>
      <c r="D11" s="3">
        <v>575000</v>
      </c>
      <c r="E11" s="3">
        <v>400000</v>
      </c>
      <c r="F11" s="3">
        <v>250000</v>
      </c>
      <c r="G11" s="3">
        <v>150000</v>
      </c>
      <c r="H11" s="3">
        <v>0</v>
      </c>
    </row>
    <row r="14" spans="1:11" x14ac:dyDescent="0.25">
      <c r="A14" t="s">
        <v>11</v>
      </c>
      <c r="B14" s="5" t="s">
        <v>12</v>
      </c>
      <c r="C14" t="s">
        <v>13</v>
      </c>
      <c r="G14" s="76" t="s">
        <v>18</v>
      </c>
      <c r="H14" s="76"/>
      <c r="I14" s="76"/>
      <c r="J14" s="76"/>
      <c r="K14" s="76"/>
    </row>
    <row r="15" spans="1:11" x14ac:dyDescent="0.25">
      <c r="A15" t="s">
        <v>11</v>
      </c>
      <c r="B15" s="5" t="s">
        <v>12</v>
      </c>
      <c r="C15" t="s">
        <v>14</v>
      </c>
      <c r="G15" s="76"/>
      <c r="H15" s="76"/>
      <c r="I15" s="76"/>
      <c r="J15" s="76"/>
      <c r="K15" s="76"/>
    </row>
    <row r="16" spans="1:11" x14ac:dyDescent="0.25">
      <c r="A16" t="s">
        <v>11</v>
      </c>
      <c r="B16" s="5" t="s">
        <v>12</v>
      </c>
      <c r="C16" t="s">
        <v>15</v>
      </c>
      <c r="G16" s="76"/>
      <c r="H16" s="76"/>
      <c r="I16" s="76"/>
      <c r="J16" s="76"/>
      <c r="K16" s="76"/>
    </row>
    <row r="17" spans="1:11" x14ac:dyDescent="0.25">
      <c r="A17" t="s">
        <v>11</v>
      </c>
      <c r="B17" s="5" t="s">
        <v>12</v>
      </c>
      <c r="C17" t="s">
        <v>29</v>
      </c>
      <c r="G17" s="76"/>
      <c r="H17" s="76"/>
      <c r="I17" s="76"/>
      <c r="J17" s="76"/>
      <c r="K17" s="76"/>
    </row>
    <row r="18" spans="1:11" x14ac:dyDescent="0.25">
      <c r="A18" t="s">
        <v>11</v>
      </c>
      <c r="B18" s="5" t="s">
        <v>12</v>
      </c>
      <c r="C18" t="s">
        <v>16</v>
      </c>
      <c r="G18" s="76"/>
      <c r="H18" s="76"/>
      <c r="I18" s="76"/>
      <c r="J18" s="76"/>
      <c r="K18" s="76"/>
    </row>
    <row r="19" spans="1:11" x14ac:dyDescent="0.25">
      <c r="A19" t="s">
        <v>11</v>
      </c>
      <c r="B19" s="5" t="s">
        <v>12</v>
      </c>
      <c r="C19" t="s">
        <v>17</v>
      </c>
      <c r="G19" s="76"/>
      <c r="H19" s="76"/>
      <c r="I19" s="76"/>
      <c r="J19" s="76"/>
      <c r="K19" s="76"/>
    </row>
    <row r="22" spans="1:11" x14ac:dyDescent="0.25">
      <c r="A22" t="s">
        <v>19</v>
      </c>
      <c r="B22" t="s">
        <v>20</v>
      </c>
    </row>
    <row r="23" spans="1:11" x14ac:dyDescent="0.25">
      <c r="B23" t="s">
        <v>21</v>
      </c>
    </row>
    <row r="24" spans="1:11" x14ac:dyDescent="0.25">
      <c r="B24" t="s">
        <v>22</v>
      </c>
    </row>
    <row r="25" spans="1:11" x14ac:dyDescent="0.25">
      <c r="B25" t="s">
        <v>23</v>
      </c>
    </row>
    <row r="26" spans="1:11" x14ac:dyDescent="0.25">
      <c r="B26" t="s">
        <v>24</v>
      </c>
    </row>
    <row r="27" spans="1:11" x14ac:dyDescent="0.25">
      <c r="B27" t="s">
        <v>25</v>
      </c>
    </row>
    <row r="29" spans="1:11" x14ac:dyDescent="0.25">
      <c r="A29" s="6" t="s">
        <v>62</v>
      </c>
    </row>
    <row r="30" spans="1:11" x14ac:dyDescent="0.25">
      <c r="A30" s="10" t="s">
        <v>63</v>
      </c>
      <c r="B30" s="10" t="s">
        <v>64</v>
      </c>
      <c r="C30" s="10"/>
      <c r="D30" s="10" t="s">
        <v>68</v>
      </c>
      <c r="E30" s="10"/>
    </row>
    <row r="31" spans="1:11" x14ac:dyDescent="0.25">
      <c r="A31" s="10" t="s">
        <v>65</v>
      </c>
      <c r="B31" s="10" t="s">
        <v>69</v>
      </c>
      <c r="C31" s="10"/>
      <c r="D31" s="10" t="s">
        <v>70</v>
      </c>
      <c r="E31" s="10"/>
      <c r="F31" s="10" t="s">
        <v>72</v>
      </c>
    </row>
    <row r="32" spans="1:11" x14ac:dyDescent="0.25">
      <c r="A32" t="s">
        <v>66</v>
      </c>
      <c r="B32" t="s">
        <v>67</v>
      </c>
      <c r="D32" t="s">
        <v>71</v>
      </c>
    </row>
    <row r="34" spans="1:3" x14ac:dyDescent="0.25">
      <c r="A34" t="s">
        <v>73</v>
      </c>
      <c r="B34" t="s">
        <v>75</v>
      </c>
      <c r="C34" t="s">
        <v>172</v>
      </c>
    </row>
    <row r="35" spans="1:3" x14ac:dyDescent="0.25">
      <c r="A35" t="s">
        <v>74</v>
      </c>
      <c r="B35" t="s">
        <v>76</v>
      </c>
    </row>
  </sheetData>
  <mergeCells count="1">
    <mergeCell ref="G14:K19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22"/>
  <sheetViews>
    <sheetView workbookViewId="0">
      <selection activeCell="E23" sqref="E23"/>
    </sheetView>
  </sheetViews>
  <sheetFormatPr defaultRowHeight="15" x14ac:dyDescent="0.25"/>
  <cols>
    <col min="1" max="1" width="15.7109375" customWidth="1"/>
    <col min="2" max="2" width="9.7109375" bestFit="1" customWidth="1"/>
    <col min="3" max="3" width="16.42578125" customWidth="1"/>
    <col min="4" max="4" width="12.28515625" bestFit="1" customWidth="1"/>
    <col min="5" max="5" width="18.5703125" customWidth="1"/>
    <col min="6" max="6" width="2.42578125" customWidth="1"/>
    <col min="7" max="7" width="11.140625" bestFit="1" customWidth="1"/>
    <col min="9" max="9" width="9" bestFit="1" customWidth="1"/>
    <col min="11" max="11" width="9" bestFit="1" customWidth="1"/>
    <col min="13" max="13" width="9" bestFit="1" customWidth="1"/>
    <col min="15" max="15" width="9" bestFit="1" customWidth="1"/>
    <col min="17" max="17" width="9" bestFit="1" customWidth="1"/>
  </cols>
  <sheetData>
    <row r="3" spans="1:18" x14ac:dyDescent="0.25">
      <c r="A3" s="6" t="s">
        <v>123</v>
      </c>
    </row>
    <row r="5" spans="1:18" x14ac:dyDescent="0.25">
      <c r="A5" s="6" t="s">
        <v>128</v>
      </c>
      <c r="G5" t="s">
        <v>266</v>
      </c>
    </row>
    <row r="7" spans="1:18" x14ac:dyDescent="0.25">
      <c r="B7" s="11" t="s">
        <v>124</v>
      </c>
      <c r="C7" s="11" t="s">
        <v>125</v>
      </c>
      <c r="D7" s="11" t="s">
        <v>126</v>
      </c>
      <c r="G7" s="29">
        <v>50000</v>
      </c>
    </row>
    <row r="8" spans="1:18" x14ac:dyDescent="0.25">
      <c r="A8" t="s">
        <v>43</v>
      </c>
      <c r="B8" s="29">
        <v>300000</v>
      </c>
      <c r="C8" s="29">
        <v>80000</v>
      </c>
      <c r="D8" s="29">
        <v>120000</v>
      </c>
      <c r="G8" s="29">
        <v>40000</v>
      </c>
      <c r="L8" t="s">
        <v>132</v>
      </c>
    </row>
    <row r="9" spans="1:18" x14ac:dyDescent="0.25">
      <c r="A9" t="s">
        <v>174</v>
      </c>
      <c r="B9" s="29">
        <v>-240000</v>
      </c>
      <c r="C9" s="29">
        <v>-40000</v>
      </c>
      <c r="D9" s="29">
        <v>-70000</v>
      </c>
      <c r="G9" s="29">
        <v>30000</v>
      </c>
    </row>
    <row r="10" spans="1:18" x14ac:dyDescent="0.25">
      <c r="A10" t="s">
        <v>50</v>
      </c>
      <c r="B10" s="35">
        <f>SUM(B8:B9)</f>
        <v>60000</v>
      </c>
      <c r="C10" s="35">
        <f t="shared" ref="C10:D10" si="0">SUM(C8:C9)</f>
        <v>40000</v>
      </c>
      <c r="D10" s="35">
        <f t="shared" si="0"/>
        <v>50000</v>
      </c>
      <c r="G10" s="29">
        <v>20000</v>
      </c>
    </row>
    <row r="11" spans="1:18" x14ac:dyDescent="0.25">
      <c r="A11" t="s">
        <v>56</v>
      </c>
      <c r="B11" s="14">
        <f>+B10/B8</f>
        <v>0.2</v>
      </c>
      <c r="C11" s="14">
        <f t="shared" ref="C11:D11" si="1">+C10/C8</f>
        <v>0.5</v>
      </c>
      <c r="D11" s="14">
        <f t="shared" si="1"/>
        <v>0.41666666666666669</v>
      </c>
      <c r="G11" s="29">
        <v>10000</v>
      </c>
    </row>
    <row r="12" spans="1:18" x14ac:dyDescent="0.25">
      <c r="A12" s="6" t="s">
        <v>127</v>
      </c>
      <c r="B12">
        <v>3</v>
      </c>
      <c r="C12">
        <v>1</v>
      </c>
      <c r="D12">
        <v>2</v>
      </c>
      <c r="G12" s="29">
        <v>0</v>
      </c>
      <c r="N12" t="s">
        <v>133</v>
      </c>
    </row>
    <row r="13" spans="1:18" x14ac:dyDescent="0.25">
      <c r="G13" s="29">
        <v>-10000</v>
      </c>
      <c r="I13" s="29">
        <v>100000</v>
      </c>
      <c r="J13" s="29"/>
      <c r="K13" s="29">
        <v>200000</v>
      </c>
      <c r="L13" s="29"/>
      <c r="M13" s="29">
        <v>300000</v>
      </c>
      <c r="N13" s="29"/>
      <c r="O13" s="29">
        <v>400000</v>
      </c>
      <c r="P13" s="29"/>
      <c r="Q13" s="29">
        <v>500000</v>
      </c>
      <c r="R13" t="s">
        <v>43</v>
      </c>
    </row>
    <row r="14" spans="1:18" x14ac:dyDescent="0.25">
      <c r="A14" t="s">
        <v>261</v>
      </c>
      <c r="G14" s="29">
        <v>-20000</v>
      </c>
    </row>
    <row r="15" spans="1:18" x14ac:dyDescent="0.25">
      <c r="G15" s="29">
        <v>-30000</v>
      </c>
      <c r="P15" t="s">
        <v>134</v>
      </c>
    </row>
    <row r="16" spans="1:18" x14ac:dyDescent="0.25">
      <c r="A16" s="6" t="s">
        <v>262</v>
      </c>
      <c r="B16" s="42" t="s">
        <v>141</v>
      </c>
      <c r="C16" s="6" t="s">
        <v>263</v>
      </c>
      <c r="D16" s="6" t="s">
        <v>264</v>
      </c>
      <c r="E16" s="42" t="s">
        <v>265</v>
      </c>
      <c r="F16" s="6"/>
      <c r="G16" s="29">
        <v>-40000</v>
      </c>
    </row>
    <row r="17" spans="1:15" x14ac:dyDescent="0.25">
      <c r="A17" s="3">
        <v>0</v>
      </c>
      <c r="B17" s="43">
        <v>0</v>
      </c>
      <c r="C17" s="3">
        <v>0</v>
      </c>
      <c r="D17" s="3">
        <v>-100000</v>
      </c>
      <c r="E17" s="45">
        <f>+C17+D17</f>
        <v>-100000</v>
      </c>
      <c r="G17" s="29">
        <v>-50000</v>
      </c>
      <c r="N17" s="1" t="s">
        <v>133</v>
      </c>
      <c r="O17" s="1">
        <v>330000</v>
      </c>
    </row>
    <row r="18" spans="1:15" x14ac:dyDescent="0.25">
      <c r="A18" t="s">
        <v>125</v>
      </c>
      <c r="B18" s="44">
        <f>+C8</f>
        <v>80000</v>
      </c>
      <c r="C18" s="35">
        <f>+C10</f>
        <v>40000</v>
      </c>
      <c r="D18" s="7">
        <f>+D17</f>
        <v>-100000</v>
      </c>
      <c r="E18" s="44">
        <f>SUM(C18:D18)</f>
        <v>-60000</v>
      </c>
      <c r="G18" s="29">
        <v>-60000</v>
      </c>
      <c r="N18" s="1" t="s">
        <v>134</v>
      </c>
      <c r="O18" s="1">
        <v>170000</v>
      </c>
    </row>
    <row r="19" spans="1:15" x14ac:dyDescent="0.25">
      <c r="A19" t="s">
        <v>130</v>
      </c>
      <c r="B19" s="44">
        <f>+B18+D8</f>
        <v>200000</v>
      </c>
      <c r="C19" s="35">
        <f>+C18+D10</f>
        <v>90000</v>
      </c>
      <c r="D19" s="7">
        <f>+D18</f>
        <v>-100000</v>
      </c>
      <c r="E19" s="44">
        <f>SUM(C19:D19)</f>
        <v>-10000</v>
      </c>
      <c r="G19" s="29">
        <v>-70000</v>
      </c>
      <c r="L19" t="s">
        <v>146</v>
      </c>
    </row>
    <row r="20" spans="1:15" x14ac:dyDescent="0.25">
      <c r="A20" t="s">
        <v>131</v>
      </c>
      <c r="B20" s="44">
        <f>+B19+B8</f>
        <v>500000</v>
      </c>
      <c r="C20" s="35">
        <f>+C19+B10</f>
        <v>150000</v>
      </c>
      <c r="D20" s="7">
        <f>+D19</f>
        <v>-100000</v>
      </c>
      <c r="E20" s="44">
        <f>SUM(C20:D20)</f>
        <v>50000</v>
      </c>
      <c r="G20" s="29">
        <v>-80000</v>
      </c>
    </row>
    <row r="21" spans="1:15" x14ac:dyDescent="0.25">
      <c r="G21" s="29">
        <v>-90000</v>
      </c>
    </row>
    <row r="22" spans="1:15" x14ac:dyDescent="0.25">
      <c r="G22" s="29">
        <v>-100000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9"/>
  <sheetViews>
    <sheetView workbookViewId="0">
      <selection activeCell="E22" sqref="E22"/>
    </sheetView>
  </sheetViews>
  <sheetFormatPr defaultRowHeight="15" x14ac:dyDescent="0.25"/>
  <cols>
    <col min="1" max="1" width="23.7109375" customWidth="1"/>
    <col min="2" max="2" width="16" customWidth="1"/>
    <col min="3" max="5" width="14" bestFit="1" customWidth="1"/>
    <col min="6" max="6" width="13.28515625" bestFit="1" customWidth="1"/>
    <col min="8" max="8" width="11.28515625" bestFit="1" customWidth="1"/>
    <col min="10" max="15" width="8" bestFit="1" customWidth="1"/>
  </cols>
  <sheetData>
    <row r="2" spans="1:17" x14ac:dyDescent="0.25">
      <c r="A2" s="6" t="s">
        <v>135</v>
      </c>
    </row>
    <row r="4" spans="1:17" x14ac:dyDescent="0.25">
      <c r="B4" s="24" t="s">
        <v>124</v>
      </c>
      <c r="C4" s="24" t="s">
        <v>125</v>
      </c>
      <c r="D4" s="24" t="s">
        <v>126</v>
      </c>
    </row>
    <row r="5" spans="1:17" ht="17.25" x14ac:dyDescent="0.4">
      <c r="A5" s="8" t="s">
        <v>84</v>
      </c>
      <c r="B5" s="20">
        <f>36000/6*1</f>
        <v>6000</v>
      </c>
      <c r="C5" s="20">
        <f>36000/6*2</f>
        <v>12000</v>
      </c>
      <c r="D5" s="20">
        <f>36000/6*3</f>
        <v>18000</v>
      </c>
      <c r="E5" s="7">
        <f>SUM(B5:D5)</f>
        <v>36000</v>
      </c>
    </row>
    <row r="6" spans="1:17" x14ac:dyDescent="0.25">
      <c r="A6" t="s">
        <v>136</v>
      </c>
      <c r="B6" s="3">
        <v>100</v>
      </c>
      <c r="C6" s="3">
        <v>160</v>
      </c>
      <c r="D6" s="3">
        <v>240</v>
      </c>
      <c r="H6" s="30" t="s">
        <v>59</v>
      </c>
    </row>
    <row r="7" spans="1:17" x14ac:dyDescent="0.25">
      <c r="A7" t="s">
        <v>137</v>
      </c>
      <c r="B7" s="3">
        <v>55</v>
      </c>
      <c r="C7" s="3">
        <v>100</v>
      </c>
      <c r="D7" s="3">
        <v>200</v>
      </c>
      <c r="H7" s="29">
        <v>300000</v>
      </c>
      <c r="L7" t="s">
        <v>132</v>
      </c>
    </row>
    <row r="8" spans="1:17" x14ac:dyDescent="0.25">
      <c r="A8" t="s">
        <v>138</v>
      </c>
      <c r="B8" s="3">
        <f>B5*B6</f>
        <v>600000</v>
      </c>
      <c r="C8" s="3">
        <f t="shared" ref="C8:D8" si="0">C5*C6</f>
        <v>1920000</v>
      </c>
      <c r="D8" s="3">
        <f t="shared" si="0"/>
        <v>4320000</v>
      </c>
      <c r="E8" s="7">
        <f>SUM(B8:D8)</f>
        <v>6840000</v>
      </c>
      <c r="H8" s="29">
        <v>200000</v>
      </c>
    </row>
    <row r="9" spans="1:17" x14ac:dyDescent="0.25">
      <c r="A9" t="s">
        <v>27</v>
      </c>
      <c r="B9" s="7">
        <f>-B5*B7</f>
        <v>-330000</v>
      </c>
      <c r="C9" s="7">
        <f t="shared" ref="C9:D9" si="1">-C5*C7</f>
        <v>-1200000</v>
      </c>
      <c r="D9" s="7">
        <f t="shared" si="1"/>
        <v>-3600000</v>
      </c>
      <c r="H9" s="29">
        <v>100000</v>
      </c>
    </row>
    <row r="10" spans="1:17" x14ac:dyDescent="0.25">
      <c r="A10" t="s">
        <v>50</v>
      </c>
      <c r="B10" s="7">
        <f>SUM(B8:B9)</f>
        <v>270000</v>
      </c>
      <c r="C10" s="7">
        <f>SUM(C8:C9)</f>
        <v>720000</v>
      </c>
      <c r="D10" s="7">
        <f>SUM(D8:D9)</f>
        <v>720000</v>
      </c>
      <c r="H10" s="29">
        <v>0</v>
      </c>
    </row>
    <row r="11" spans="1:17" x14ac:dyDescent="0.25">
      <c r="A11" t="s">
        <v>60</v>
      </c>
      <c r="B11" s="15">
        <f>B10/B8</f>
        <v>0.45</v>
      </c>
      <c r="C11" s="15">
        <f t="shared" ref="C11:D11" si="2">C10/C8</f>
        <v>0.375</v>
      </c>
      <c r="D11" s="15">
        <f t="shared" si="2"/>
        <v>0.16666666666666666</v>
      </c>
      <c r="H11" s="29">
        <v>-100000</v>
      </c>
      <c r="I11">
        <v>1000000</v>
      </c>
      <c r="J11">
        <v>2000000</v>
      </c>
      <c r="K11">
        <v>3000000</v>
      </c>
      <c r="L11">
        <v>4000000</v>
      </c>
      <c r="M11">
        <v>5000000</v>
      </c>
      <c r="N11">
        <v>6000000</v>
      </c>
      <c r="O11">
        <v>7000000</v>
      </c>
      <c r="Q11" s="6" t="s">
        <v>43</v>
      </c>
    </row>
    <row r="12" spans="1:17" x14ac:dyDescent="0.25">
      <c r="A12" s="27" t="s">
        <v>139</v>
      </c>
      <c r="B12" s="27">
        <v>1</v>
      </c>
      <c r="C12" s="27">
        <v>2</v>
      </c>
      <c r="D12" s="27">
        <v>3</v>
      </c>
      <c r="H12" s="29">
        <v>-200000</v>
      </c>
      <c r="N12" t="s">
        <v>133</v>
      </c>
    </row>
    <row r="13" spans="1:17" x14ac:dyDescent="0.25">
      <c r="H13" s="29">
        <v>-300000</v>
      </c>
      <c r="O13" t="s">
        <v>134</v>
      </c>
    </row>
    <row r="14" spans="1:17" x14ac:dyDescent="0.25">
      <c r="A14" s="12" t="s">
        <v>140</v>
      </c>
      <c r="B14" s="24" t="s">
        <v>141</v>
      </c>
      <c r="C14" s="24" t="s">
        <v>142</v>
      </c>
      <c r="D14" s="24" t="s">
        <v>55</v>
      </c>
      <c r="E14" s="24" t="s">
        <v>143</v>
      </c>
      <c r="H14" s="29">
        <v>-400000</v>
      </c>
    </row>
    <row r="15" spans="1:17" x14ac:dyDescent="0.25">
      <c r="A15" s="3">
        <v>0</v>
      </c>
      <c r="B15" s="3">
        <v>0</v>
      </c>
      <c r="C15" s="3">
        <v>0</v>
      </c>
      <c r="D15" s="3">
        <v>-1500000</v>
      </c>
      <c r="E15" s="3">
        <f>SUM(C15:D15)</f>
        <v>-1500000</v>
      </c>
      <c r="H15" s="29">
        <v>-500000</v>
      </c>
      <c r="O15" t="s">
        <v>133</v>
      </c>
      <c r="P15">
        <v>5400000</v>
      </c>
    </row>
    <row r="16" spans="1:17" x14ac:dyDescent="0.25">
      <c r="A16" t="s">
        <v>124</v>
      </c>
      <c r="B16" s="7">
        <f>+B8</f>
        <v>600000</v>
      </c>
      <c r="C16" s="7">
        <f>+B10</f>
        <v>270000</v>
      </c>
      <c r="D16" s="7">
        <f>+D15</f>
        <v>-1500000</v>
      </c>
      <c r="E16" s="7">
        <f>SUM(C16:D16)</f>
        <v>-1230000</v>
      </c>
      <c r="H16" s="29">
        <v>-600000</v>
      </c>
      <c r="O16" t="s">
        <v>134</v>
      </c>
      <c r="P16">
        <v>1440000</v>
      </c>
    </row>
    <row r="17" spans="1:13" x14ac:dyDescent="0.25">
      <c r="A17" t="s">
        <v>144</v>
      </c>
      <c r="B17" s="7">
        <f>+B16+C8</f>
        <v>2520000</v>
      </c>
      <c r="C17" s="7">
        <f>+C16+C10</f>
        <v>990000</v>
      </c>
      <c r="D17" s="7">
        <f>+D16</f>
        <v>-1500000</v>
      </c>
      <c r="E17" s="7">
        <f>SUM(C17:D17)</f>
        <v>-510000</v>
      </c>
      <c r="H17" s="29">
        <v>-700000</v>
      </c>
      <c r="M17" t="s">
        <v>146</v>
      </c>
    </row>
    <row r="18" spans="1:13" x14ac:dyDescent="0.25">
      <c r="A18" t="s">
        <v>145</v>
      </c>
      <c r="B18" s="7">
        <f>+B17+D8</f>
        <v>6840000</v>
      </c>
      <c r="C18" s="7">
        <f>+C17+D10</f>
        <v>1710000</v>
      </c>
      <c r="D18" s="7">
        <f>+D17</f>
        <v>-1500000</v>
      </c>
      <c r="E18" s="7">
        <f>SUM(C18:D18)</f>
        <v>210000</v>
      </c>
      <c r="H18" s="29">
        <v>-800000</v>
      </c>
    </row>
    <row r="19" spans="1:13" x14ac:dyDescent="0.25">
      <c r="H19" s="29">
        <v>-900000</v>
      </c>
    </row>
    <row r="20" spans="1:13" x14ac:dyDescent="0.25">
      <c r="A20" t="s">
        <v>151</v>
      </c>
      <c r="B20" s="15">
        <f>C18/B18</f>
        <v>0.25</v>
      </c>
      <c r="C20" t="s">
        <v>152</v>
      </c>
      <c r="H20" s="29">
        <v>-1000000</v>
      </c>
    </row>
    <row r="21" spans="1:13" x14ac:dyDescent="0.25">
      <c r="H21" s="29">
        <v>-1100000</v>
      </c>
    </row>
    <row r="22" spans="1:13" x14ac:dyDescent="0.25">
      <c r="A22" t="s">
        <v>147</v>
      </c>
      <c r="H22" s="29">
        <v>-1200000</v>
      </c>
    </row>
    <row r="23" spans="1:13" x14ac:dyDescent="0.25">
      <c r="A23" t="s">
        <v>148</v>
      </c>
      <c r="B23" t="s">
        <v>149</v>
      </c>
      <c r="C23" s="7">
        <f>E8*0.2</f>
        <v>1368000</v>
      </c>
      <c r="H23" s="29">
        <v>-1300000</v>
      </c>
    </row>
    <row r="24" spans="1:13" x14ac:dyDescent="0.25">
      <c r="A24" t="s">
        <v>150</v>
      </c>
      <c r="B24" t="s">
        <v>153</v>
      </c>
      <c r="C24" s="3">
        <f>+C23*0.25</f>
        <v>342000</v>
      </c>
      <c r="H24" s="29">
        <v>-1400000</v>
      </c>
    </row>
    <row r="25" spans="1:13" ht="15.75" thickBot="1" x14ac:dyDescent="0.3">
      <c r="A25" t="s">
        <v>267</v>
      </c>
      <c r="C25" s="9">
        <f>+C24</f>
        <v>342000</v>
      </c>
      <c r="H25" s="29">
        <v>-1500000</v>
      </c>
    </row>
    <row r="26" spans="1:13" ht="15.75" thickTop="1" x14ac:dyDescent="0.25">
      <c r="H26" s="29"/>
    </row>
    <row r="28" spans="1:13" x14ac:dyDescent="0.25">
      <c r="A28" s="12" t="s">
        <v>268</v>
      </c>
    </row>
    <row r="30" spans="1:13" x14ac:dyDescent="0.25">
      <c r="A30" t="s">
        <v>276</v>
      </c>
      <c r="B30" t="s">
        <v>159</v>
      </c>
      <c r="E30" t="s">
        <v>269</v>
      </c>
      <c r="F30">
        <f>45*1</f>
        <v>45</v>
      </c>
      <c r="H30" t="s">
        <v>272</v>
      </c>
      <c r="I30">
        <v>100</v>
      </c>
    </row>
    <row r="31" spans="1:13" x14ac:dyDescent="0.25">
      <c r="B31" t="s">
        <v>275</v>
      </c>
      <c r="E31" t="s">
        <v>270</v>
      </c>
      <c r="F31">
        <f>60*2</f>
        <v>120</v>
      </c>
      <c r="H31" t="s">
        <v>273</v>
      </c>
      <c r="I31">
        <f>160*2</f>
        <v>320</v>
      </c>
    </row>
    <row r="32" spans="1:13" ht="15.75" thickBot="1" x14ac:dyDescent="0.3">
      <c r="B32" s="16">
        <f>1500000/0.25</f>
        <v>6000000</v>
      </c>
      <c r="E32" t="s">
        <v>271</v>
      </c>
      <c r="F32">
        <f>40*3</f>
        <v>120</v>
      </c>
      <c r="H32" t="s">
        <v>274</v>
      </c>
      <c r="I32">
        <f>240*3</f>
        <v>720</v>
      </c>
    </row>
    <row r="33" spans="1:9" ht="15.75" thickTop="1" x14ac:dyDescent="0.25">
      <c r="F33">
        <f>SUM(F30:F32)</f>
        <v>285</v>
      </c>
      <c r="I33">
        <f>SUM(I30:I32)</f>
        <v>1140</v>
      </c>
    </row>
    <row r="34" spans="1:9" x14ac:dyDescent="0.25">
      <c r="A34" t="s">
        <v>277</v>
      </c>
      <c r="B34" s="26" t="s">
        <v>278</v>
      </c>
      <c r="C34" t="s">
        <v>280</v>
      </c>
      <c r="F34" s="15">
        <f>F33/I33</f>
        <v>0.25</v>
      </c>
    </row>
    <row r="35" spans="1:9" x14ac:dyDescent="0.25">
      <c r="B35" t="s">
        <v>279</v>
      </c>
    </row>
    <row r="36" spans="1:9" x14ac:dyDescent="0.25">
      <c r="F36" t="s">
        <v>292</v>
      </c>
    </row>
    <row r="37" spans="1:9" x14ac:dyDescent="0.25">
      <c r="B37" s="13">
        <v>36000</v>
      </c>
      <c r="C37" t="s">
        <v>281</v>
      </c>
      <c r="F37" t="s">
        <v>293</v>
      </c>
    </row>
    <row r="38" spans="1:9" x14ac:dyDescent="0.25">
      <c r="B38" s="7">
        <f>+B18</f>
        <v>6840000</v>
      </c>
    </row>
    <row r="40" spans="1:9" ht="15.75" thickBot="1" x14ac:dyDescent="0.3">
      <c r="B40" s="31">
        <f>36000/6840000*6000000</f>
        <v>31578.947368421053</v>
      </c>
    </row>
    <row r="41" spans="1:9" ht="15.75" thickTop="1" x14ac:dyDescent="0.25">
      <c r="D41" t="s">
        <v>173</v>
      </c>
      <c r="E41" s="3" t="s">
        <v>136</v>
      </c>
      <c r="F41" t="s">
        <v>286</v>
      </c>
    </row>
    <row r="42" spans="1:9" x14ac:dyDescent="0.25">
      <c r="A42" t="s">
        <v>282</v>
      </c>
      <c r="B42" t="s">
        <v>124</v>
      </c>
      <c r="C42" t="s">
        <v>283</v>
      </c>
      <c r="D42" s="3">
        <f>+B40/6</f>
        <v>5263.1578947368425</v>
      </c>
      <c r="E42">
        <v>100</v>
      </c>
      <c r="F42" s="7">
        <f>D42*E42</f>
        <v>526315.78947368427</v>
      </c>
    </row>
    <row r="43" spans="1:9" x14ac:dyDescent="0.25">
      <c r="B43" t="s">
        <v>125</v>
      </c>
      <c r="C43" t="s">
        <v>284</v>
      </c>
      <c r="D43" s="3">
        <f>+D42*2</f>
        <v>10526.315789473685</v>
      </c>
      <c r="E43">
        <v>160</v>
      </c>
      <c r="F43" s="7">
        <f t="shared" ref="F43:F44" si="3">D43*E43</f>
        <v>1684210.5263157897</v>
      </c>
    </row>
    <row r="44" spans="1:9" x14ac:dyDescent="0.25">
      <c r="B44" t="s">
        <v>126</v>
      </c>
      <c r="C44" t="s">
        <v>285</v>
      </c>
      <c r="D44" s="3">
        <f>+D42*3</f>
        <v>15789.473684210527</v>
      </c>
      <c r="E44">
        <v>240</v>
      </c>
      <c r="F44" s="7">
        <f t="shared" si="3"/>
        <v>3789473.6842105263</v>
      </c>
    </row>
    <row r="45" spans="1:9" x14ac:dyDescent="0.25">
      <c r="D45" s="7">
        <f>SUM(D42:D44)</f>
        <v>31578.947368421053</v>
      </c>
      <c r="F45" s="7">
        <f>SUM(F42:F44)</f>
        <v>6000000</v>
      </c>
    </row>
    <row r="46" spans="1:9" x14ac:dyDescent="0.25">
      <c r="E46" t="s">
        <v>134</v>
      </c>
    </row>
    <row r="47" spans="1:9" x14ac:dyDescent="0.25">
      <c r="A47" t="s">
        <v>287</v>
      </c>
      <c r="B47" t="s">
        <v>288</v>
      </c>
      <c r="C47" t="s">
        <v>124</v>
      </c>
      <c r="D47" t="s">
        <v>289</v>
      </c>
      <c r="E47" s="3">
        <f>+B48/6</f>
        <v>736.8421052631578</v>
      </c>
    </row>
    <row r="48" spans="1:9" x14ac:dyDescent="0.25">
      <c r="B48" s="7">
        <f>36000-B40</f>
        <v>4421.0526315789466</v>
      </c>
      <c r="C48" t="s">
        <v>125</v>
      </c>
      <c r="D48" t="s">
        <v>290</v>
      </c>
      <c r="E48" s="3">
        <f>+E47*2</f>
        <v>1473.6842105263156</v>
      </c>
    </row>
    <row r="49" spans="3:5" x14ac:dyDescent="0.25">
      <c r="C49" t="s">
        <v>126</v>
      </c>
      <c r="D49" t="s">
        <v>291</v>
      </c>
      <c r="E49" s="3">
        <f>+E47*3</f>
        <v>2210.5263157894733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9"/>
  <sheetViews>
    <sheetView workbookViewId="0">
      <selection activeCell="H21" sqref="H21"/>
    </sheetView>
  </sheetViews>
  <sheetFormatPr defaultRowHeight="15" x14ac:dyDescent="0.25"/>
  <cols>
    <col min="1" max="1" width="14" customWidth="1"/>
    <col min="2" max="2" width="14.42578125" customWidth="1"/>
    <col min="3" max="4" width="14.28515625" bestFit="1" customWidth="1"/>
    <col min="6" max="6" width="11.5703125" bestFit="1" customWidth="1"/>
    <col min="8" max="8" width="14.5703125" customWidth="1"/>
  </cols>
  <sheetData>
    <row r="2" spans="1:12" x14ac:dyDescent="0.25">
      <c r="A2" s="6" t="s">
        <v>158</v>
      </c>
    </row>
    <row r="4" spans="1:12" x14ac:dyDescent="0.25">
      <c r="A4" t="s">
        <v>155</v>
      </c>
      <c r="B4" s="5" t="s">
        <v>12</v>
      </c>
      <c r="C4" t="s">
        <v>159</v>
      </c>
    </row>
    <row r="6" spans="1:12" x14ac:dyDescent="0.25">
      <c r="B6" s="5" t="s">
        <v>12</v>
      </c>
      <c r="C6" t="s">
        <v>165</v>
      </c>
    </row>
    <row r="7" spans="1:12" ht="15.75" thickBot="1" x14ac:dyDescent="0.3">
      <c r="C7" s="31">
        <f>5400000/C12</f>
        <v>19440000</v>
      </c>
    </row>
    <row r="8" spans="1:12" ht="15.75" thickTop="1" x14ac:dyDescent="0.25"/>
    <row r="10" spans="1:12" x14ac:dyDescent="0.25">
      <c r="A10" t="s">
        <v>151</v>
      </c>
      <c r="B10" s="5" t="s">
        <v>12</v>
      </c>
      <c r="C10" t="s">
        <v>163</v>
      </c>
      <c r="I10" t="s">
        <v>32</v>
      </c>
      <c r="J10" t="s">
        <v>34</v>
      </c>
      <c r="K10" t="s">
        <v>37</v>
      </c>
    </row>
    <row r="11" spans="1:12" x14ac:dyDescent="0.25">
      <c r="C11" t="s">
        <v>164</v>
      </c>
      <c r="H11" t="s">
        <v>136</v>
      </c>
      <c r="I11">
        <v>50</v>
      </c>
      <c r="J11">
        <v>50</v>
      </c>
      <c r="K11">
        <v>85</v>
      </c>
    </row>
    <row r="12" spans="1:12" ht="15.75" thickBot="1" x14ac:dyDescent="0.3">
      <c r="C12" s="32">
        <f>75/270</f>
        <v>0.27777777777777779</v>
      </c>
      <c r="H12" t="s">
        <v>137</v>
      </c>
      <c r="I12">
        <v>-30</v>
      </c>
      <c r="J12">
        <v>-45</v>
      </c>
      <c r="K12">
        <v>-60</v>
      </c>
    </row>
    <row r="13" spans="1:12" ht="15.75" thickTop="1" x14ac:dyDescent="0.25">
      <c r="H13" t="s">
        <v>160</v>
      </c>
      <c r="I13">
        <f>SUM(I11:I12)</f>
        <v>20</v>
      </c>
      <c r="J13">
        <f t="shared" ref="J13:K13" si="0">SUM(J11:J12)</f>
        <v>5</v>
      </c>
      <c r="K13">
        <f t="shared" si="0"/>
        <v>25</v>
      </c>
    </row>
    <row r="14" spans="1:12" x14ac:dyDescent="0.25">
      <c r="H14" t="s">
        <v>161</v>
      </c>
      <c r="I14">
        <v>1</v>
      </c>
      <c r="J14">
        <v>1</v>
      </c>
      <c r="K14">
        <v>2</v>
      </c>
    </row>
    <row r="15" spans="1:12" x14ac:dyDescent="0.25">
      <c r="H15" t="s">
        <v>162</v>
      </c>
      <c r="I15" s="3">
        <f>I13*I14</f>
        <v>20</v>
      </c>
      <c r="J15" s="3">
        <f t="shared" ref="J15:K15" si="1">J13*J14</f>
        <v>5</v>
      </c>
      <c r="K15" s="3">
        <f t="shared" si="1"/>
        <v>50</v>
      </c>
      <c r="L15" s="7">
        <f>SUM(I15:K15)</f>
        <v>75</v>
      </c>
    </row>
    <row r="16" spans="1:12" x14ac:dyDescent="0.25">
      <c r="H16" t="s">
        <v>129</v>
      </c>
      <c r="I16" s="3">
        <f>+I11*I14</f>
        <v>50</v>
      </c>
      <c r="J16" s="3">
        <f t="shared" ref="J16:K16" si="2">+J11*J14</f>
        <v>50</v>
      </c>
      <c r="K16" s="3">
        <f t="shared" si="2"/>
        <v>170</v>
      </c>
      <c r="L16" s="7">
        <f>SUM(I16:K16)</f>
        <v>270</v>
      </c>
    </row>
    <row r="17" spans="1:6" x14ac:dyDescent="0.25">
      <c r="B17" s="12" t="s">
        <v>168</v>
      </c>
      <c r="C17" s="12" t="s">
        <v>154</v>
      </c>
      <c r="D17" s="12" t="s">
        <v>155</v>
      </c>
      <c r="E17" s="12" t="s">
        <v>157</v>
      </c>
      <c r="F17" s="12" t="s">
        <v>85</v>
      </c>
    </row>
    <row r="18" spans="1:6" x14ac:dyDescent="0.25">
      <c r="A18" t="s">
        <v>32</v>
      </c>
      <c r="B18" s="25">
        <v>19440000</v>
      </c>
      <c r="C18" t="s">
        <v>166</v>
      </c>
      <c r="D18" s="3">
        <f>B18*50/270</f>
        <v>3600000</v>
      </c>
      <c r="E18">
        <f>+I11</f>
        <v>50</v>
      </c>
      <c r="F18" s="7">
        <f>D18/E18</f>
        <v>72000</v>
      </c>
    </row>
    <row r="19" spans="1:6" x14ac:dyDescent="0.25">
      <c r="A19" t="s">
        <v>34</v>
      </c>
      <c r="B19" s="25">
        <v>19440000</v>
      </c>
      <c r="C19" t="s">
        <v>166</v>
      </c>
      <c r="D19" s="3">
        <f>+B19*50/270</f>
        <v>3600000</v>
      </c>
      <c r="E19">
        <f>+J11</f>
        <v>50</v>
      </c>
      <c r="F19" s="7">
        <f t="shared" ref="F19:F20" si="3">D19/E19</f>
        <v>72000</v>
      </c>
    </row>
    <row r="20" spans="1:6" x14ac:dyDescent="0.25">
      <c r="A20" t="s">
        <v>37</v>
      </c>
      <c r="B20" s="25">
        <v>19440000</v>
      </c>
      <c r="C20" t="s">
        <v>167</v>
      </c>
      <c r="D20" s="3">
        <f>+B20*170/270</f>
        <v>12240000</v>
      </c>
      <c r="E20">
        <f>+K11</f>
        <v>85</v>
      </c>
      <c r="F20" s="7">
        <f t="shared" si="3"/>
        <v>144000</v>
      </c>
    </row>
    <row r="21" spans="1:6" x14ac:dyDescent="0.25">
      <c r="F21" s="7">
        <f>SUM(F18:F20)</f>
        <v>288000</v>
      </c>
    </row>
    <row r="23" spans="1:6" x14ac:dyDescent="0.25">
      <c r="A23" s="6" t="s">
        <v>169</v>
      </c>
    </row>
    <row r="24" spans="1:6" x14ac:dyDescent="0.25">
      <c r="B24" s="28" t="s">
        <v>156</v>
      </c>
      <c r="C24" s="28" t="s">
        <v>170</v>
      </c>
      <c r="D24" s="28" t="s">
        <v>134</v>
      </c>
    </row>
    <row r="25" spans="1:6" x14ac:dyDescent="0.25">
      <c r="A25" t="s">
        <v>32</v>
      </c>
      <c r="B25" s="3">
        <v>100000</v>
      </c>
      <c r="C25" s="7">
        <f>+F18</f>
        <v>72000</v>
      </c>
      <c r="D25" s="7">
        <f>B25-C25</f>
        <v>28000</v>
      </c>
    </row>
    <row r="26" spans="1:6" x14ac:dyDescent="0.25">
      <c r="A26" t="s">
        <v>34</v>
      </c>
      <c r="B26" s="3">
        <v>100000</v>
      </c>
      <c r="C26" s="7">
        <f t="shared" ref="C26:C27" si="4">+F19</f>
        <v>72000</v>
      </c>
      <c r="D26" s="7">
        <f>B26-C26</f>
        <v>28000</v>
      </c>
    </row>
    <row r="27" spans="1:6" x14ac:dyDescent="0.25">
      <c r="A27" t="s">
        <v>37</v>
      </c>
      <c r="B27" s="3">
        <v>200000</v>
      </c>
      <c r="C27" s="7">
        <f t="shared" si="4"/>
        <v>144000</v>
      </c>
      <c r="D27" s="7">
        <f>B27-C27</f>
        <v>56000</v>
      </c>
    </row>
    <row r="28" spans="1:6" ht="15.75" thickBot="1" x14ac:dyDescent="0.3">
      <c r="B28" s="9">
        <f>SUM(B25:B27)</f>
        <v>400000</v>
      </c>
      <c r="D28" s="9">
        <f>SUM(D25:D27)</f>
        <v>112000</v>
      </c>
    </row>
    <row r="29" spans="1:6" ht="15.75" thickTop="1" x14ac:dyDescent="0.25"/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workbookViewId="0">
      <selection activeCell="F22" sqref="F22"/>
    </sheetView>
  </sheetViews>
  <sheetFormatPr defaultRowHeight="15" x14ac:dyDescent="0.25"/>
  <cols>
    <col min="1" max="1" width="18.42578125" customWidth="1"/>
    <col min="2" max="2" width="10.5703125" bestFit="1" customWidth="1"/>
    <col min="3" max="3" width="17.28515625" customWidth="1"/>
    <col min="4" max="4" width="10.5703125" bestFit="1" customWidth="1"/>
    <col min="6" max="6" width="13.28515625" bestFit="1" customWidth="1"/>
    <col min="7" max="10" width="9.5703125" bestFit="1" customWidth="1"/>
  </cols>
  <sheetData>
    <row r="2" spans="1:10" x14ac:dyDescent="0.25">
      <c r="A2" s="6" t="s">
        <v>294</v>
      </c>
    </row>
    <row r="3" spans="1:10" x14ac:dyDescent="0.25">
      <c r="G3" s="28" t="s">
        <v>32</v>
      </c>
      <c r="H3" s="28" t="s">
        <v>34</v>
      </c>
      <c r="I3" s="28" t="s">
        <v>37</v>
      </c>
    </row>
    <row r="4" spans="1:10" x14ac:dyDescent="0.25">
      <c r="A4" t="s">
        <v>151</v>
      </c>
      <c r="B4" s="5" t="s">
        <v>12</v>
      </c>
      <c r="C4" s="8" t="s">
        <v>295</v>
      </c>
      <c r="F4" t="s">
        <v>136</v>
      </c>
      <c r="G4" s="3">
        <v>110</v>
      </c>
      <c r="H4" s="3">
        <v>160</v>
      </c>
      <c r="I4" s="3">
        <v>120</v>
      </c>
    </row>
    <row r="5" spans="1:10" x14ac:dyDescent="0.25">
      <c r="C5" t="s">
        <v>129</v>
      </c>
      <c r="F5" t="s">
        <v>296</v>
      </c>
      <c r="G5" s="3">
        <v>-12</v>
      </c>
      <c r="H5" s="3">
        <v>-28</v>
      </c>
      <c r="I5" s="3">
        <v>-16</v>
      </c>
    </row>
    <row r="6" spans="1:10" x14ac:dyDescent="0.25">
      <c r="F6" t="s">
        <v>297</v>
      </c>
      <c r="G6" s="3">
        <v>-8</v>
      </c>
      <c r="H6" s="3">
        <v>-22</v>
      </c>
      <c r="I6" s="3">
        <v>-26</v>
      </c>
    </row>
    <row r="7" spans="1:10" x14ac:dyDescent="0.25">
      <c r="C7" s="8" t="s">
        <v>298</v>
      </c>
      <c r="F7" t="s">
        <v>175</v>
      </c>
      <c r="G7" s="3">
        <v>-16</v>
      </c>
      <c r="H7" s="3">
        <v>-34</v>
      </c>
      <c r="I7" s="3">
        <v>-22</v>
      </c>
    </row>
    <row r="8" spans="1:10" x14ac:dyDescent="0.25">
      <c r="C8" t="s">
        <v>299</v>
      </c>
      <c r="F8" t="s">
        <v>176</v>
      </c>
      <c r="G8" s="3">
        <v>-14</v>
      </c>
      <c r="H8" s="3">
        <v>-20</v>
      </c>
      <c r="I8" s="3">
        <v>-28</v>
      </c>
    </row>
    <row r="9" spans="1:10" x14ac:dyDescent="0.25">
      <c r="F9" t="s">
        <v>50</v>
      </c>
      <c r="G9" s="7">
        <f>SUM(G4:G8)</f>
        <v>60</v>
      </c>
      <c r="H9" s="7">
        <f t="shared" ref="H9:I9" si="0">SUM(H4:H8)</f>
        <v>56</v>
      </c>
      <c r="I9" s="7">
        <f t="shared" si="0"/>
        <v>28</v>
      </c>
    </row>
    <row r="10" spans="1:10" ht="17.25" x14ac:dyDescent="0.4">
      <c r="C10" s="20">
        <f>(G9*G12)+(H9*H12)+(I9*I12)</f>
        <v>1580</v>
      </c>
    </row>
    <row r="11" spans="1:10" x14ac:dyDescent="0.25">
      <c r="C11" s="3">
        <f>(G4*G12)+(H4*H12)+(I4*I12)</f>
        <v>4420</v>
      </c>
      <c r="F11" t="s">
        <v>161</v>
      </c>
      <c r="G11" s="7">
        <v>20</v>
      </c>
      <c r="H11" s="7">
        <v>22</v>
      </c>
      <c r="I11" s="7">
        <v>26</v>
      </c>
      <c r="J11" s="7">
        <f>SUM(G11:I11)</f>
        <v>68</v>
      </c>
    </row>
    <row r="12" spans="1:10" x14ac:dyDescent="0.25">
      <c r="G12" s="7">
        <v>10</v>
      </c>
      <c r="H12" s="7">
        <v>11</v>
      </c>
      <c r="I12" s="7">
        <v>13</v>
      </c>
      <c r="J12" s="7">
        <f>SUM(G12:I12)</f>
        <v>34</v>
      </c>
    </row>
    <row r="13" spans="1:10" ht="15.75" thickBot="1" x14ac:dyDescent="0.3">
      <c r="C13" s="32">
        <f>C10/C11</f>
        <v>0.3574660633484163</v>
      </c>
    </row>
    <row r="14" spans="1:10" ht="15.75" thickTop="1" x14ac:dyDescent="0.25">
      <c r="F14" t="s">
        <v>129</v>
      </c>
      <c r="G14" s="7">
        <f>+G4*G11</f>
        <v>2200</v>
      </c>
      <c r="H14" s="7">
        <f t="shared" ref="H14:I14" si="1">+H4*H11</f>
        <v>3520</v>
      </c>
      <c r="I14" s="7">
        <f t="shared" si="1"/>
        <v>3120</v>
      </c>
      <c r="J14" s="7">
        <f>SUM(G14:I14)</f>
        <v>8840</v>
      </c>
    </row>
    <row r="16" spans="1:10" x14ac:dyDescent="0.25">
      <c r="A16" t="s">
        <v>300</v>
      </c>
      <c r="B16" s="5" t="s">
        <v>12</v>
      </c>
      <c r="C16" s="8" t="s">
        <v>55</v>
      </c>
    </row>
    <row r="17" spans="1:6" x14ac:dyDescent="0.25">
      <c r="C17" t="s">
        <v>151</v>
      </c>
    </row>
    <row r="19" spans="1:6" x14ac:dyDescent="0.25">
      <c r="C19" s="46">
        <v>640000</v>
      </c>
    </row>
    <row r="20" spans="1:6" x14ac:dyDescent="0.25">
      <c r="C20" s="21">
        <f>+C13</f>
        <v>0.3574660633484163</v>
      </c>
    </row>
    <row r="22" spans="1:6" ht="15.75" thickBot="1" x14ac:dyDescent="0.3">
      <c r="C22" s="40">
        <f>C19/C20</f>
        <v>1790379.746835443</v>
      </c>
    </row>
    <row r="23" spans="1:6" ht="15.75" thickTop="1" x14ac:dyDescent="0.25"/>
    <row r="25" spans="1:6" x14ac:dyDescent="0.25">
      <c r="A25" t="s">
        <v>301</v>
      </c>
      <c r="B25" s="5" t="s">
        <v>12</v>
      </c>
      <c r="C25" s="47">
        <v>68000</v>
      </c>
      <c r="D25" t="s">
        <v>302</v>
      </c>
    </row>
    <row r="26" spans="1:6" x14ac:dyDescent="0.25">
      <c r="C26" s="3">
        <v>8840000</v>
      </c>
    </row>
    <row r="28" spans="1:6" ht="15.75" thickBot="1" x14ac:dyDescent="0.3">
      <c r="C28" s="31">
        <f>C25/C26*C22</f>
        <v>13772.151898734177</v>
      </c>
    </row>
    <row r="29" spans="1:6" ht="15.75" thickTop="1" x14ac:dyDescent="0.25"/>
    <row r="30" spans="1:6" x14ac:dyDescent="0.25">
      <c r="B30" t="s">
        <v>32</v>
      </c>
      <c r="C30" t="s">
        <v>303</v>
      </c>
      <c r="D30" s="7">
        <f>C28/68*20</f>
        <v>4050.6329113924048</v>
      </c>
      <c r="E30" s="7">
        <f>+G4</f>
        <v>110</v>
      </c>
      <c r="F30" s="3">
        <f>D30*E30</f>
        <v>445569.62025316455</v>
      </c>
    </row>
    <row r="31" spans="1:6" x14ac:dyDescent="0.25">
      <c r="B31" t="s">
        <v>34</v>
      </c>
      <c r="C31" t="s">
        <v>304</v>
      </c>
      <c r="D31" s="3">
        <f>+C28/68*22</f>
        <v>4455.6962025316452</v>
      </c>
      <c r="E31" s="7">
        <f>+H4</f>
        <v>160</v>
      </c>
      <c r="F31" s="3">
        <f t="shared" ref="F31:F32" si="2">D31*E31</f>
        <v>712911.39240506326</v>
      </c>
    </row>
    <row r="32" spans="1:6" x14ac:dyDescent="0.25">
      <c r="B32" t="s">
        <v>37</v>
      </c>
      <c r="C32" t="s">
        <v>305</v>
      </c>
      <c r="D32" s="3">
        <f>+C28/68*26</f>
        <v>5265.8227848101269</v>
      </c>
      <c r="E32" s="7">
        <f>+I4</f>
        <v>120</v>
      </c>
      <c r="F32" s="3">
        <f t="shared" si="2"/>
        <v>631898.73417721526</v>
      </c>
    </row>
    <row r="33" spans="1:6" x14ac:dyDescent="0.25">
      <c r="D33" s="7">
        <f>SUM(D30:D32)</f>
        <v>13772.151898734177</v>
      </c>
      <c r="F33" s="7">
        <f>SUM(F30:F32)</f>
        <v>1790379.746835443</v>
      </c>
    </row>
    <row r="35" spans="1:6" x14ac:dyDescent="0.25">
      <c r="A35" t="s">
        <v>306</v>
      </c>
      <c r="B35" t="s">
        <v>307</v>
      </c>
    </row>
    <row r="36" spans="1:6" x14ac:dyDescent="0.25">
      <c r="B36" t="s">
        <v>308</v>
      </c>
    </row>
    <row r="37" spans="1:6" ht="15.75" thickBot="1" x14ac:dyDescent="0.3">
      <c r="B37" s="40">
        <f>68000-C28</f>
        <v>54227.848101265823</v>
      </c>
    </row>
    <row r="38" spans="1:6" ht="15.75" thickTop="1" x14ac:dyDescent="0.25">
      <c r="D38" t="s">
        <v>134</v>
      </c>
    </row>
    <row r="39" spans="1:6" x14ac:dyDescent="0.25">
      <c r="B39" t="s">
        <v>32</v>
      </c>
      <c r="C39" t="s">
        <v>309</v>
      </c>
      <c r="D39" s="3">
        <f>+B37/68*20</f>
        <v>15949.367088607596</v>
      </c>
    </row>
    <row r="40" spans="1:6" x14ac:dyDescent="0.25">
      <c r="B40" t="s">
        <v>34</v>
      </c>
      <c r="C40" t="s">
        <v>310</v>
      </c>
      <c r="D40" s="3">
        <f>+B37/68*22</f>
        <v>17544.303797468354</v>
      </c>
    </row>
    <row r="41" spans="1:6" x14ac:dyDescent="0.25">
      <c r="B41" t="s">
        <v>37</v>
      </c>
      <c r="C41" t="s">
        <v>311</v>
      </c>
      <c r="D41" s="3">
        <f>+B37/68*26</f>
        <v>20734.177215189877</v>
      </c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"/>
  <sheetViews>
    <sheetView workbookViewId="0">
      <selection activeCell="H22" sqref="H22"/>
    </sheetView>
  </sheetViews>
  <sheetFormatPr defaultRowHeight="15" x14ac:dyDescent="0.25"/>
  <cols>
    <col min="1" max="1" width="29.7109375" customWidth="1"/>
    <col min="2" max="2" width="10.7109375" bestFit="1" customWidth="1"/>
    <col min="3" max="3" width="12.28515625" bestFit="1" customWidth="1"/>
    <col min="4" max="4" width="11.28515625" bestFit="1" customWidth="1"/>
  </cols>
  <sheetData>
    <row r="2" spans="1:8" x14ac:dyDescent="0.25">
      <c r="A2" s="6" t="s">
        <v>312</v>
      </c>
    </row>
    <row r="3" spans="1:8" x14ac:dyDescent="0.25">
      <c r="A3" s="6"/>
    </row>
    <row r="4" spans="1:8" x14ac:dyDescent="0.25">
      <c r="A4" s="6" t="s">
        <v>313</v>
      </c>
    </row>
    <row r="6" spans="1:8" x14ac:dyDescent="0.25">
      <c r="A6" s="8" t="s">
        <v>314</v>
      </c>
      <c r="B6" s="28" t="s">
        <v>315</v>
      </c>
      <c r="C6" s="28" t="s">
        <v>316</v>
      </c>
      <c r="D6" s="28" t="s">
        <v>317</v>
      </c>
    </row>
    <row r="7" spans="1:8" x14ac:dyDescent="0.25">
      <c r="A7" s="6" t="s">
        <v>318</v>
      </c>
      <c r="B7" s="3">
        <v>3000</v>
      </c>
      <c r="C7">
        <v>2</v>
      </c>
      <c r="D7" s="7">
        <f>B7*C7</f>
        <v>6000</v>
      </c>
    </row>
    <row r="8" spans="1:8" x14ac:dyDescent="0.25">
      <c r="A8" s="6" t="s">
        <v>319</v>
      </c>
      <c r="B8" s="3">
        <v>5000</v>
      </c>
      <c r="C8">
        <v>3</v>
      </c>
      <c r="D8" s="51">
        <f>B8*C8</f>
        <v>15000</v>
      </c>
    </row>
    <row r="9" spans="1:8" x14ac:dyDescent="0.25">
      <c r="A9" s="6" t="s">
        <v>320</v>
      </c>
      <c r="D9" s="7">
        <f>SUM(D7:D8)</f>
        <v>21000</v>
      </c>
    </row>
    <row r="10" spans="1:8" x14ac:dyDescent="0.25">
      <c r="A10" s="49" t="s">
        <v>321</v>
      </c>
      <c r="D10" s="3">
        <v>-18000</v>
      </c>
    </row>
    <row r="11" spans="1:8" ht="15.75" thickBot="1" x14ac:dyDescent="0.3">
      <c r="A11" s="34" t="s">
        <v>322</v>
      </c>
      <c r="B11" s="10"/>
      <c r="C11" s="10"/>
      <c r="D11" s="50">
        <f>SUM(D9:D10)</f>
        <v>3000</v>
      </c>
    </row>
    <row r="12" spans="1:8" ht="15.75" thickTop="1" x14ac:dyDescent="0.25"/>
    <row r="13" spans="1:8" x14ac:dyDescent="0.25">
      <c r="A13" s="6" t="s">
        <v>323</v>
      </c>
    </row>
    <row r="14" spans="1:8" x14ac:dyDescent="0.25">
      <c r="C14" s="52" t="s">
        <v>318</v>
      </c>
      <c r="D14" s="52"/>
      <c r="E14" s="52" t="s">
        <v>319</v>
      </c>
      <c r="G14" s="59"/>
      <c r="H14" s="59" t="s">
        <v>319</v>
      </c>
    </row>
    <row r="15" spans="1:8" x14ac:dyDescent="0.25">
      <c r="A15" t="s">
        <v>324</v>
      </c>
      <c r="C15" s="3">
        <v>80</v>
      </c>
      <c r="D15" s="3"/>
      <c r="E15" s="3">
        <v>100</v>
      </c>
      <c r="G15" s="18"/>
      <c r="H15" s="18">
        <v>100</v>
      </c>
    </row>
    <row r="16" spans="1:8" x14ac:dyDescent="0.25">
      <c r="A16" t="s">
        <v>325</v>
      </c>
      <c r="C16" s="3"/>
      <c r="D16" s="3"/>
      <c r="E16" s="3"/>
      <c r="G16" s="18"/>
      <c r="H16" s="18"/>
    </row>
    <row r="17" spans="1:11" x14ac:dyDescent="0.25">
      <c r="A17" s="53" t="s">
        <v>48</v>
      </c>
      <c r="B17" s="3">
        <v>20</v>
      </c>
      <c r="C17" s="3"/>
      <c r="D17" s="3">
        <v>30</v>
      </c>
      <c r="E17" s="3"/>
      <c r="G17" s="18">
        <v>30</v>
      </c>
      <c r="H17" s="18"/>
    </row>
    <row r="18" spans="1:11" x14ac:dyDescent="0.25">
      <c r="A18" s="53" t="s">
        <v>49</v>
      </c>
      <c r="B18" s="3">
        <v>10</v>
      </c>
      <c r="C18" s="3"/>
      <c r="D18" s="3">
        <v>15</v>
      </c>
      <c r="E18" s="3"/>
      <c r="G18" s="61">
        <v>45</v>
      </c>
      <c r="H18" s="18"/>
      <c r="J18" t="s">
        <v>337</v>
      </c>
      <c r="K18" t="s">
        <v>338</v>
      </c>
    </row>
    <row r="19" spans="1:11" x14ac:dyDescent="0.25">
      <c r="A19" s="53" t="s">
        <v>171</v>
      </c>
      <c r="B19" s="3">
        <v>20</v>
      </c>
      <c r="C19" s="3">
        <f>-SUM(B17:B19)</f>
        <v>-50</v>
      </c>
      <c r="D19" s="3">
        <v>25</v>
      </c>
      <c r="E19" s="3">
        <f>-SUM(D17:D19)</f>
        <v>-70</v>
      </c>
      <c r="G19" s="18">
        <v>25</v>
      </c>
      <c r="H19" s="18">
        <v>-100</v>
      </c>
    </row>
    <row r="20" spans="1:11" s="6" customFormat="1" x14ac:dyDescent="0.25">
      <c r="A20" s="54" t="s">
        <v>50</v>
      </c>
      <c r="C20" s="55">
        <f>SUM(C15:C19)</f>
        <v>30</v>
      </c>
      <c r="D20" s="55"/>
      <c r="E20" s="55">
        <f>SUM(E15:E19)</f>
        <v>30</v>
      </c>
      <c r="G20" s="60"/>
      <c r="H20" s="60">
        <v>0</v>
      </c>
    </row>
    <row r="21" spans="1:11" x14ac:dyDescent="0.25">
      <c r="A21" s="2" t="s">
        <v>326</v>
      </c>
      <c r="C21" s="3">
        <f>+C7</f>
        <v>2</v>
      </c>
      <c r="D21" s="3"/>
      <c r="E21" s="3">
        <f>+C8</f>
        <v>3</v>
      </c>
      <c r="G21" s="18"/>
      <c r="H21" s="18">
        <f>+E21</f>
        <v>3</v>
      </c>
    </row>
    <row r="22" spans="1:11" x14ac:dyDescent="0.25">
      <c r="A22" s="56" t="s">
        <v>327</v>
      </c>
      <c r="C22" s="7">
        <f>C20/C21</f>
        <v>15</v>
      </c>
      <c r="E22" s="7">
        <f>E20/E21</f>
        <v>10</v>
      </c>
      <c r="G22" s="10"/>
      <c r="H22" s="48">
        <f>H20/H21</f>
        <v>0</v>
      </c>
    </row>
    <row r="23" spans="1:11" s="34" customFormat="1" x14ac:dyDescent="0.25">
      <c r="A23" s="34" t="s">
        <v>328</v>
      </c>
      <c r="C23" s="34">
        <v>1</v>
      </c>
      <c r="E23" s="34">
        <v>2</v>
      </c>
      <c r="H23" s="34">
        <v>2</v>
      </c>
    </row>
    <row r="25" spans="1:11" x14ac:dyDescent="0.25">
      <c r="A25" s="6" t="s">
        <v>329</v>
      </c>
    </row>
    <row r="27" spans="1:11" x14ac:dyDescent="0.25">
      <c r="A27" t="s">
        <v>314</v>
      </c>
      <c r="B27" t="s">
        <v>330</v>
      </c>
      <c r="C27" t="s">
        <v>331</v>
      </c>
      <c r="D27" t="s">
        <v>317</v>
      </c>
    </row>
    <row r="28" spans="1:11" x14ac:dyDescent="0.25">
      <c r="A28" t="s">
        <v>318</v>
      </c>
      <c r="B28" s="3">
        <v>3000</v>
      </c>
      <c r="C28" s="3">
        <v>2</v>
      </c>
      <c r="D28" s="3">
        <f>B28*C28</f>
        <v>6000</v>
      </c>
    </row>
    <row r="29" spans="1:11" x14ac:dyDescent="0.25">
      <c r="A29" t="s">
        <v>319</v>
      </c>
      <c r="B29" s="19">
        <f>12000/3</f>
        <v>4000</v>
      </c>
      <c r="C29" s="3">
        <v>3</v>
      </c>
      <c r="D29" s="7">
        <f>D30-D28</f>
        <v>12000</v>
      </c>
    </row>
    <row r="30" spans="1:11" ht="15.75" thickBot="1" x14ac:dyDescent="0.3">
      <c r="D30" s="16">
        <v>18000</v>
      </c>
    </row>
    <row r="31" spans="1:11" ht="15.75" thickTop="1" x14ac:dyDescent="0.25"/>
    <row r="32" spans="1:11" x14ac:dyDescent="0.25">
      <c r="A32" s="8" t="s">
        <v>332</v>
      </c>
    </row>
    <row r="33" spans="1:4" x14ac:dyDescent="0.25">
      <c r="A33" t="s">
        <v>50</v>
      </c>
    </row>
    <row r="34" spans="1:4" x14ac:dyDescent="0.25">
      <c r="A34" s="57" t="s">
        <v>318</v>
      </c>
      <c r="B34" t="s">
        <v>333</v>
      </c>
      <c r="C34" s="3">
        <f>3000*30</f>
        <v>90000</v>
      </c>
    </row>
    <row r="35" spans="1:4" x14ac:dyDescent="0.25">
      <c r="A35" s="57" t="s">
        <v>319</v>
      </c>
      <c r="B35" t="s">
        <v>334</v>
      </c>
      <c r="C35" s="3">
        <f>4000*30</f>
        <v>120000</v>
      </c>
    </row>
    <row r="36" spans="1:4" x14ac:dyDescent="0.25">
      <c r="A36" t="s">
        <v>77</v>
      </c>
      <c r="C36" s="7">
        <f>SUM(C34:C35)</f>
        <v>210000</v>
      </c>
    </row>
    <row r="37" spans="1:4" x14ac:dyDescent="0.25">
      <c r="A37" t="s">
        <v>58</v>
      </c>
      <c r="C37" s="3">
        <v>-110000</v>
      </c>
    </row>
    <row r="38" spans="1:4" ht="15.75" thickBot="1" x14ac:dyDescent="0.3">
      <c r="A38" s="34" t="s">
        <v>59</v>
      </c>
      <c r="B38" s="34"/>
      <c r="C38" s="58">
        <f>SUM(C36:C37)</f>
        <v>100000</v>
      </c>
    </row>
    <row r="39" spans="1:4" ht="15.75" thickTop="1" x14ac:dyDescent="0.25"/>
    <row r="40" spans="1:4" x14ac:dyDescent="0.25">
      <c r="A40" s="8" t="s">
        <v>335</v>
      </c>
    </row>
    <row r="41" spans="1:4" x14ac:dyDescent="0.25">
      <c r="A41" t="s">
        <v>336</v>
      </c>
    </row>
    <row r="43" spans="1:4" x14ac:dyDescent="0.25">
      <c r="A43" s="10" t="s">
        <v>339</v>
      </c>
      <c r="B43" s="10"/>
      <c r="C43" s="48">
        <f>+E22</f>
        <v>10</v>
      </c>
      <c r="D43" s="10" t="s">
        <v>342</v>
      </c>
    </row>
    <row r="44" spans="1:4" x14ac:dyDescent="0.25">
      <c r="A44" t="s">
        <v>340</v>
      </c>
      <c r="C44" s="3">
        <v>5</v>
      </c>
    </row>
    <row r="45" spans="1:4" ht="15.75" thickBot="1" x14ac:dyDescent="0.3">
      <c r="A45" s="6" t="s">
        <v>341</v>
      </c>
      <c r="B45" s="6"/>
      <c r="C45" s="33">
        <f>SUM(C43:C44)</f>
        <v>15</v>
      </c>
    </row>
    <row r="46" spans="1:4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2"/>
  <sheetViews>
    <sheetView workbookViewId="0">
      <selection activeCell="I22" sqref="I22"/>
    </sheetView>
  </sheetViews>
  <sheetFormatPr defaultRowHeight="15" x14ac:dyDescent="0.25"/>
  <cols>
    <col min="1" max="1" width="29.140625" customWidth="1"/>
    <col min="2" max="2" width="10.42578125" customWidth="1"/>
    <col min="3" max="3" width="13.28515625" customWidth="1"/>
    <col min="4" max="4" width="13.5703125" bestFit="1" customWidth="1"/>
  </cols>
  <sheetData>
    <row r="2" spans="1:4" x14ac:dyDescent="0.25">
      <c r="A2" s="6" t="s">
        <v>343</v>
      </c>
    </row>
    <row r="4" spans="1:4" x14ac:dyDescent="0.25">
      <c r="A4" s="6" t="s">
        <v>313</v>
      </c>
    </row>
    <row r="6" spans="1:4" x14ac:dyDescent="0.25">
      <c r="A6" s="8" t="s">
        <v>314</v>
      </c>
      <c r="B6" s="28" t="s">
        <v>315</v>
      </c>
      <c r="C6" s="28" t="s">
        <v>48</v>
      </c>
      <c r="D6" s="28" t="s">
        <v>344</v>
      </c>
    </row>
    <row r="7" spans="1:4" x14ac:dyDescent="0.25">
      <c r="A7" t="s">
        <v>124</v>
      </c>
      <c r="B7" s="3">
        <v>300</v>
      </c>
      <c r="C7" s="3">
        <f>200/50</f>
        <v>4</v>
      </c>
      <c r="D7" s="3">
        <f>B7*C7</f>
        <v>1200</v>
      </c>
    </row>
    <row r="8" spans="1:4" x14ac:dyDescent="0.25">
      <c r="A8" t="s">
        <v>125</v>
      </c>
      <c r="B8" s="3">
        <v>450</v>
      </c>
      <c r="C8" s="3">
        <f>350/50</f>
        <v>7</v>
      </c>
      <c r="D8" s="3">
        <f t="shared" ref="D8:D9" si="0">B8*C8</f>
        <v>3150</v>
      </c>
    </row>
    <row r="9" spans="1:4" x14ac:dyDescent="0.25">
      <c r="A9" t="s">
        <v>126</v>
      </c>
      <c r="B9" s="3">
        <v>250</v>
      </c>
      <c r="C9" s="3">
        <f>700/50</f>
        <v>14</v>
      </c>
      <c r="D9" s="3">
        <f t="shared" si="0"/>
        <v>3500</v>
      </c>
    </row>
    <row r="10" spans="1:4" x14ac:dyDescent="0.25">
      <c r="A10" t="s">
        <v>345</v>
      </c>
      <c r="D10" s="7">
        <f>SUM(D7:D9)</f>
        <v>7850</v>
      </c>
    </row>
    <row r="11" spans="1:4" x14ac:dyDescent="0.25">
      <c r="A11" t="s">
        <v>346</v>
      </c>
      <c r="D11" s="3">
        <v>-6250</v>
      </c>
    </row>
    <row r="12" spans="1:4" ht="15.75" thickBot="1" x14ac:dyDescent="0.3">
      <c r="A12" s="34" t="s">
        <v>322</v>
      </c>
      <c r="B12" s="34"/>
      <c r="C12" s="34"/>
      <c r="D12" s="58">
        <f>SUM(D10:D11)</f>
        <v>1600</v>
      </c>
    </row>
    <row r="13" spans="1:4" ht="15.75" thickTop="1" x14ac:dyDescent="0.25"/>
    <row r="15" spans="1:4" x14ac:dyDescent="0.25">
      <c r="B15" s="52" t="s">
        <v>124</v>
      </c>
      <c r="C15" s="52" t="s">
        <v>125</v>
      </c>
      <c r="D15" s="52" t="s">
        <v>126</v>
      </c>
    </row>
    <row r="16" spans="1:4" x14ac:dyDescent="0.25">
      <c r="A16" t="s">
        <v>46</v>
      </c>
      <c r="B16" s="3">
        <v>600</v>
      </c>
      <c r="C16" s="3">
        <v>1200</v>
      </c>
      <c r="D16" s="3">
        <v>1600</v>
      </c>
    </row>
    <row r="17" spans="1:7" x14ac:dyDescent="0.25">
      <c r="A17" t="s">
        <v>47</v>
      </c>
      <c r="B17" s="3"/>
      <c r="C17" s="3"/>
      <c r="D17" s="3"/>
    </row>
    <row r="18" spans="1:7" x14ac:dyDescent="0.25">
      <c r="A18" t="s">
        <v>48</v>
      </c>
      <c r="B18" s="3">
        <v>-200</v>
      </c>
      <c r="C18" s="3">
        <v>-350</v>
      </c>
      <c r="D18" s="3">
        <v>-700</v>
      </c>
    </row>
    <row r="19" spans="1:7" x14ac:dyDescent="0.25">
      <c r="A19" t="s">
        <v>49</v>
      </c>
      <c r="B19" s="3">
        <v>-100</v>
      </c>
      <c r="C19" s="3">
        <v>-200</v>
      </c>
      <c r="D19" s="3">
        <v>-500</v>
      </c>
    </row>
    <row r="20" spans="1:7" x14ac:dyDescent="0.25">
      <c r="A20" t="s">
        <v>347</v>
      </c>
      <c r="B20" s="3">
        <v>-160</v>
      </c>
      <c r="C20" s="3">
        <v>-320</v>
      </c>
      <c r="D20" s="3">
        <v>-450</v>
      </c>
    </row>
    <row r="21" spans="1:7" s="6" customFormat="1" x14ac:dyDescent="0.25">
      <c r="A21" s="6" t="s">
        <v>50</v>
      </c>
      <c r="B21" s="55">
        <f>SUM(B16:B20)</f>
        <v>140</v>
      </c>
      <c r="C21" s="55">
        <f>SUM(C16:C20)</f>
        <v>330</v>
      </c>
      <c r="D21" s="55">
        <f>SUM(D16:D20)</f>
        <v>-50</v>
      </c>
    </row>
    <row r="22" spans="1:7" x14ac:dyDescent="0.25">
      <c r="A22" t="s">
        <v>348</v>
      </c>
      <c r="B22" s="7">
        <f>+C7</f>
        <v>4</v>
      </c>
      <c r="C22" s="7">
        <f>+C8</f>
        <v>7</v>
      </c>
      <c r="D22" s="7">
        <f>+C9</f>
        <v>14</v>
      </c>
    </row>
    <row r="23" spans="1:7" x14ac:dyDescent="0.25">
      <c r="A23" t="s">
        <v>349</v>
      </c>
      <c r="B23" s="3">
        <f>B21/B22</f>
        <v>35</v>
      </c>
      <c r="C23" s="3">
        <f t="shared" ref="C23:D23" si="1">C21/C22</f>
        <v>47.142857142857146</v>
      </c>
      <c r="D23" s="3">
        <f t="shared" si="1"/>
        <v>-3.5714285714285716</v>
      </c>
    </row>
    <row r="24" spans="1:7" x14ac:dyDescent="0.25">
      <c r="A24" s="34" t="s">
        <v>139</v>
      </c>
      <c r="B24" s="34">
        <v>2</v>
      </c>
      <c r="C24" s="34">
        <v>1</v>
      </c>
      <c r="D24" s="34">
        <v>3</v>
      </c>
    </row>
    <row r="26" spans="1:7" x14ac:dyDescent="0.25">
      <c r="A26" s="8" t="s">
        <v>350</v>
      </c>
    </row>
    <row r="27" spans="1:7" x14ac:dyDescent="0.25">
      <c r="A27" s="8" t="s">
        <v>314</v>
      </c>
      <c r="B27" s="8" t="s">
        <v>330</v>
      </c>
      <c r="C27" s="28" t="s">
        <v>48</v>
      </c>
      <c r="D27" s="28" t="s">
        <v>344</v>
      </c>
    </row>
    <row r="28" spans="1:7" x14ac:dyDescent="0.25">
      <c r="A28" s="8" t="s">
        <v>351</v>
      </c>
    </row>
    <row r="29" spans="1:7" x14ac:dyDescent="0.25">
      <c r="A29" t="s">
        <v>124</v>
      </c>
      <c r="B29" s="3">
        <v>150</v>
      </c>
      <c r="C29" s="3">
        <v>4</v>
      </c>
      <c r="D29" s="3">
        <f>B29*C29</f>
        <v>600</v>
      </c>
      <c r="F29" t="s">
        <v>124</v>
      </c>
      <c r="G29" s="7">
        <f>+B29+B34</f>
        <v>250</v>
      </c>
    </row>
    <row r="30" spans="1:7" x14ac:dyDescent="0.25">
      <c r="A30" t="s">
        <v>125</v>
      </c>
      <c r="B30" s="3">
        <v>150</v>
      </c>
      <c r="C30" s="3">
        <v>7</v>
      </c>
      <c r="D30" s="3">
        <f t="shared" ref="D30:D31" si="2">B30*C30</f>
        <v>1050</v>
      </c>
      <c r="F30" t="s">
        <v>125</v>
      </c>
      <c r="G30" s="7">
        <f>+B30+B33</f>
        <v>450</v>
      </c>
    </row>
    <row r="31" spans="1:7" x14ac:dyDescent="0.25">
      <c r="A31" t="s">
        <v>126</v>
      </c>
      <c r="B31" s="3">
        <v>150</v>
      </c>
      <c r="C31" s="3">
        <v>14</v>
      </c>
      <c r="D31" s="13">
        <f t="shared" si="2"/>
        <v>2100</v>
      </c>
      <c r="F31" t="s">
        <v>126</v>
      </c>
      <c r="G31" s="7">
        <f>+B31</f>
        <v>150</v>
      </c>
    </row>
    <row r="32" spans="1:7" x14ac:dyDescent="0.25">
      <c r="B32" s="3"/>
      <c r="C32" s="3"/>
      <c r="D32" s="3">
        <f>SUM(D29:D31)</f>
        <v>3750</v>
      </c>
    </row>
    <row r="33" spans="1:4" x14ac:dyDescent="0.25">
      <c r="A33" t="s">
        <v>125</v>
      </c>
      <c r="B33" s="3">
        <v>300</v>
      </c>
      <c r="C33" s="7">
        <f>+C30</f>
        <v>7</v>
      </c>
      <c r="D33" s="3">
        <f>B33*C33</f>
        <v>2100</v>
      </c>
    </row>
    <row r="34" spans="1:4" x14ac:dyDescent="0.25">
      <c r="A34" t="s">
        <v>124</v>
      </c>
      <c r="B34" s="19">
        <f>D34/C34</f>
        <v>100</v>
      </c>
      <c r="C34" s="7">
        <v>4</v>
      </c>
      <c r="D34" s="7">
        <f>D35-D32-D33</f>
        <v>400</v>
      </c>
    </row>
    <row r="35" spans="1:4" ht="15.75" thickBot="1" x14ac:dyDescent="0.3">
      <c r="D35" s="9">
        <f>-D11</f>
        <v>6250</v>
      </c>
    </row>
    <row r="36" spans="1:4" ht="15.75" thickTop="1" x14ac:dyDescent="0.25"/>
    <row r="37" spans="1:4" x14ac:dyDescent="0.25">
      <c r="A37" t="s">
        <v>352</v>
      </c>
    </row>
    <row r="38" spans="1:4" x14ac:dyDescent="0.25">
      <c r="A38" t="s">
        <v>50</v>
      </c>
    </row>
    <row r="39" spans="1:4" x14ac:dyDescent="0.25">
      <c r="A39" s="62" t="s">
        <v>124</v>
      </c>
      <c r="B39" t="s">
        <v>353</v>
      </c>
      <c r="C39" s="3">
        <f>140*250</f>
        <v>35000</v>
      </c>
    </row>
    <row r="40" spans="1:4" x14ac:dyDescent="0.25">
      <c r="A40" s="62" t="s">
        <v>125</v>
      </c>
      <c r="B40" t="s">
        <v>354</v>
      </c>
      <c r="C40" s="3">
        <f>450*330</f>
        <v>148500</v>
      </c>
    </row>
    <row r="41" spans="1:4" x14ac:dyDescent="0.25">
      <c r="A41" s="62" t="s">
        <v>126</v>
      </c>
      <c r="B41" t="s">
        <v>355</v>
      </c>
      <c r="C41" s="13">
        <f>-150*50</f>
        <v>-7500</v>
      </c>
    </row>
    <row r="42" spans="1:4" x14ac:dyDescent="0.25">
      <c r="A42" s="56" t="s">
        <v>77</v>
      </c>
      <c r="C42" s="3">
        <f>SUM(C39:C41)</f>
        <v>176000</v>
      </c>
    </row>
    <row r="43" spans="1:4" x14ac:dyDescent="0.25">
      <c r="A43" s="2" t="s">
        <v>58</v>
      </c>
      <c r="C43" s="3">
        <v>-75000</v>
      </c>
    </row>
    <row r="44" spans="1:4" ht="15.75" thickBot="1" x14ac:dyDescent="0.3">
      <c r="A44" s="2" t="s">
        <v>59</v>
      </c>
      <c r="C44" s="9">
        <f>SUM(C42:C43)</f>
        <v>101000</v>
      </c>
    </row>
    <row r="45" spans="1:4" ht="15.75" thickTop="1" x14ac:dyDescent="0.25"/>
    <row r="46" spans="1:4" x14ac:dyDescent="0.25">
      <c r="A46" s="8" t="s">
        <v>356</v>
      </c>
    </row>
    <row r="47" spans="1:4" x14ac:dyDescent="0.25">
      <c r="A47" t="s">
        <v>357</v>
      </c>
    </row>
    <row r="49" spans="1:3" x14ac:dyDescent="0.25">
      <c r="A49" t="s">
        <v>358</v>
      </c>
      <c r="B49" s="3">
        <v>35</v>
      </c>
      <c r="C49" t="s">
        <v>342</v>
      </c>
    </row>
    <row r="50" spans="1:3" x14ac:dyDescent="0.25">
      <c r="A50" t="s">
        <v>359</v>
      </c>
      <c r="B50" s="3">
        <v>50</v>
      </c>
    </row>
    <row r="51" spans="1:3" ht="15.75" thickBot="1" x14ac:dyDescent="0.3">
      <c r="B51" s="16">
        <f>SUM(B49:B50)</f>
        <v>85</v>
      </c>
    </row>
    <row r="52" spans="1:3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2"/>
  <sheetViews>
    <sheetView workbookViewId="0">
      <selection activeCell="M21" sqref="M21"/>
    </sheetView>
  </sheetViews>
  <sheetFormatPr defaultRowHeight="15" x14ac:dyDescent="0.25"/>
  <cols>
    <col min="1" max="1" width="14.7109375" customWidth="1"/>
    <col min="2" max="2" width="14.42578125" customWidth="1"/>
    <col min="3" max="3" width="11.5703125" customWidth="1"/>
    <col min="4" max="4" width="15.42578125" customWidth="1"/>
    <col min="5" max="5" width="9.5703125" bestFit="1" customWidth="1"/>
  </cols>
  <sheetData>
    <row r="2" spans="1:8" x14ac:dyDescent="0.25">
      <c r="A2" s="6" t="s">
        <v>360</v>
      </c>
    </row>
    <row r="4" spans="1:8" x14ac:dyDescent="0.25">
      <c r="A4" s="12" t="s">
        <v>361</v>
      </c>
    </row>
    <row r="6" spans="1:8" x14ac:dyDescent="0.25">
      <c r="B6" t="s">
        <v>362</v>
      </c>
      <c r="C6" t="s">
        <v>364</v>
      </c>
    </row>
    <row r="7" spans="1:8" x14ac:dyDescent="0.25">
      <c r="B7" t="s">
        <v>363</v>
      </c>
      <c r="C7" t="s">
        <v>365</v>
      </c>
    </row>
    <row r="9" spans="1:8" x14ac:dyDescent="0.25">
      <c r="A9" s="12" t="s">
        <v>366</v>
      </c>
    </row>
    <row r="11" spans="1:8" x14ac:dyDescent="0.25">
      <c r="B11" t="s">
        <v>367</v>
      </c>
      <c r="C11" s="5" t="s">
        <v>375</v>
      </c>
    </row>
    <row r="12" spans="1:8" x14ac:dyDescent="0.25">
      <c r="H12" s="11" t="s">
        <v>319</v>
      </c>
    </row>
    <row r="13" spans="1:8" x14ac:dyDescent="0.25">
      <c r="C13" s="52" t="s">
        <v>318</v>
      </c>
      <c r="D13" s="52"/>
      <c r="E13" s="52" t="s">
        <v>319</v>
      </c>
      <c r="H13" t="s">
        <v>393</v>
      </c>
    </row>
    <row r="14" spans="1:8" x14ac:dyDescent="0.25">
      <c r="A14" t="s">
        <v>324</v>
      </c>
      <c r="C14">
        <v>42.5</v>
      </c>
      <c r="E14">
        <v>53.5</v>
      </c>
      <c r="H14">
        <v>400</v>
      </c>
    </row>
    <row r="15" spans="1:8" x14ac:dyDescent="0.25">
      <c r="A15" t="s">
        <v>47</v>
      </c>
    </row>
    <row r="16" spans="1:8" x14ac:dyDescent="0.25">
      <c r="A16" t="s">
        <v>48</v>
      </c>
      <c r="C16" s="3">
        <v>-7</v>
      </c>
      <c r="E16" s="3">
        <v>-9</v>
      </c>
    </row>
    <row r="17" spans="1:19" x14ac:dyDescent="0.25">
      <c r="A17" t="s">
        <v>49</v>
      </c>
      <c r="B17" t="s">
        <v>368</v>
      </c>
      <c r="C17" s="3">
        <f>-120/60*6</f>
        <v>-12</v>
      </c>
      <c r="D17" t="s">
        <v>369</v>
      </c>
      <c r="E17" s="3">
        <f>-120/60*9</f>
        <v>-18</v>
      </c>
      <c r="G17" s="11" t="s">
        <v>392</v>
      </c>
    </row>
    <row r="18" spans="1:19" x14ac:dyDescent="0.25">
      <c r="A18" t="s">
        <v>370</v>
      </c>
      <c r="B18" t="s">
        <v>371</v>
      </c>
      <c r="C18" s="3">
        <f>-150/60*5</f>
        <v>-12.5</v>
      </c>
      <c r="D18" t="s">
        <v>372</v>
      </c>
      <c r="E18" s="3">
        <f>-150/60*4</f>
        <v>-10</v>
      </c>
      <c r="H18">
        <v>300</v>
      </c>
      <c r="I18" t="s">
        <v>124</v>
      </c>
    </row>
    <row r="19" spans="1:19" x14ac:dyDescent="0.25">
      <c r="A19" t="s">
        <v>171</v>
      </c>
      <c r="B19" t="s">
        <v>374</v>
      </c>
      <c r="C19" s="3">
        <v>-1</v>
      </c>
      <c r="D19" t="s">
        <v>373</v>
      </c>
      <c r="E19" s="3">
        <v>-2.5</v>
      </c>
      <c r="L19" s="6" t="s">
        <v>394</v>
      </c>
    </row>
    <row r="20" spans="1:19" x14ac:dyDescent="0.25">
      <c r="A20" t="s">
        <v>50</v>
      </c>
      <c r="C20" s="3">
        <f>SUM(C14:C19)</f>
        <v>10</v>
      </c>
      <c r="E20" s="3">
        <f>SUM(E14:E19)</f>
        <v>14</v>
      </c>
    </row>
    <row r="22" spans="1:19" x14ac:dyDescent="0.25">
      <c r="A22" s="12" t="s">
        <v>376</v>
      </c>
      <c r="H22">
        <v>200</v>
      </c>
      <c r="L22" t="s">
        <v>125</v>
      </c>
    </row>
    <row r="24" spans="1:19" x14ac:dyDescent="0.25">
      <c r="A24" t="s">
        <v>377</v>
      </c>
      <c r="B24" s="11" t="s">
        <v>378</v>
      </c>
      <c r="C24" s="3">
        <v>2700</v>
      </c>
      <c r="D24" t="s">
        <v>379</v>
      </c>
    </row>
    <row r="25" spans="1:19" x14ac:dyDescent="0.25">
      <c r="A25" t="s">
        <v>380</v>
      </c>
      <c r="B25" s="11" t="s">
        <v>381</v>
      </c>
      <c r="C25" s="3">
        <v>1560</v>
      </c>
      <c r="D25" t="s">
        <v>382</v>
      </c>
    </row>
    <row r="26" spans="1:19" x14ac:dyDescent="0.25">
      <c r="A26" t="s">
        <v>383</v>
      </c>
      <c r="B26" s="11" t="s">
        <v>384</v>
      </c>
      <c r="C26">
        <v>0</v>
      </c>
      <c r="H26">
        <v>100</v>
      </c>
    </row>
    <row r="28" spans="1:19" x14ac:dyDescent="0.25">
      <c r="A28" s="12" t="s">
        <v>385</v>
      </c>
    </row>
    <row r="29" spans="1:19" x14ac:dyDescent="0.25">
      <c r="A29" t="s">
        <v>377</v>
      </c>
      <c r="B29" s="11" t="s">
        <v>386</v>
      </c>
      <c r="C29" s="3">
        <v>2700</v>
      </c>
      <c r="D29" t="s">
        <v>388</v>
      </c>
      <c r="E29" t="s">
        <v>389</v>
      </c>
    </row>
    <row r="30" spans="1:19" x14ac:dyDescent="0.25">
      <c r="A30" t="s">
        <v>380</v>
      </c>
      <c r="B30" s="11" t="s">
        <v>387</v>
      </c>
      <c r="C30" s="3">
        <v>1560</v>
      </c>
      <c r="D30" t="s">
        <v>390</v>
      </c>
      <c r="E30" t="s">
        <v>391</v>
      </c>
      <c r="H30">
        <v>0</v>
      </c>
      <c r="O30" s="57" t="s">
        <v>126</v>
      </c>
    </row>
    <row r="31" spans="1:19" x14ac:dyDescent="0.25">
      <c r="J31">
        <v>100</v>
      </c>
      <c r="L31">
        <v>200</v>
      </c>
      <c r="N31">
        <v>300</v>
      </c>
      <c r="P31">
        <v>400</v>
      </c>
      <c r="R31">
        <v>500</v>
      </c>
      <c r="S31" t="s">
        <v>318</v>
      </c>
    </row>
    <row r="33" spans="1:6" x14ac:dyDescent="0.25">
      <c r="A33" s="12" t="s">
        <v>395</v>
      </c>
    </row>
    <row r="34" spans="1:6" x14ac:dyDescent="0.25">
      <c r="B34" s="10" t="s">
        <v>396</v>
      </c>
    </row>
    <row r="35" spans="1:6" x14ac:dyDescent="0.25">
      <c r="D35" s="5" t="s">
        <v>400</v>
      </c>
    </row>
    <row r="36" spans="1:6" x14ac:dyDescent="0.25">
      <c r="B36" t="s">
        <v>124</v>
      </c>
      <c r="C36" t="s">
        <v>397</v>
      </c>
      <c r="D36" t="s">
        <v>401</v>
      </c>
      <c r="E36" s="3">
        <f>300*14</f>
        <v>4200</v>
      </c>
    </row>
    <row r="37" spans="1:6" x14ac:dyDescent="0.25">
      <c r="B37" s="1" t="s">
        <v>125</v>
      </c>
      <c r="C37" s="1" t="s">
        <v>398</v>
      </c>
      <c r="D37" s="1" t="s">
        <v>402</v>
      </c>
      <c r="E37" s="19">
        <f>(150*10)+(200*14)</f>
        <v>4300</v>
      </c>
      <c r="F37" s="1" t="s">
        <v>404</v>
      </c>
    </row>
    <row r="38" spans="1:6" x14ac:dyDescent="0.25">
      <c r="B38" t="s">
        <v>126</v>
      </c>
      <c r="C38" t="s">
        <v>399</v>
      </c>
      <c r="D38" t="s">
        <v>403</v>
      </c>
      <c r="E38" s="3">
        <f>312*10</f>
        <v>3120</v>
      </c>
    </row>
    <row r="40" spans="1:6" x14ac:dyDescent="0.25">
      <c r="B40" t="s">
        <v>405</v>
      </c>
    </row>
    <row r="41" spans="1:6" x14ac:dyDescent="0.25">
      <c r="C41" t="s">
        <v>406</v>
      </c>
    </row>
    <row r="42" spans="1:6" x14ac:dyDescent="0.25">
      <c r="C42" t="s">
        <v>407</v>
      </c>
    </row>
    <row r="44" spans="1:6" x14ac:dyDescent="0.25">
      <c r="B44" s="10" t="s">
        <v>408</v>
      </c>
    </row>
    <row r="45" spans="1:6" x14ac:dyDescent="0.25">
      <c r="B45" t="s">
        <v>367</v>
      </c>
      <c r="C45" s="5" t="s">
        <v>375</v>
      </c>
    </row>
    <row r="46" spans="1:6" x14ac:dyDescent="0.25">
      <c r="B46" t="s">
        <v>409</v>
      </c>
    </row>
    <row r="47" spans="1:6" x14ac:dyDescent="0.25">
      <c r="B47" t="s">
        <v>410</v>
      </c>
      <c r="D47" t="s">
        <v>411</v>
      </c>
      <c r="E47" t="s">
        <v>412</v>
      </c>
    </row>
    <row r="48" spans="1:6" x14ac:dyDescent="0.25">
      <c r="B48" t="s">
        <v>413</v>
      </c>
    </row>
    <row r="49" spans="1:6" x14ac:dyDescent="0.25">
      <c r="B49" s="1" t="s">
        <v>125</v>
      </c>
      <c r="C49" s="1" t="s">
        <v>398</v>
      </c>
      <c r="D49" s="1" t="s">
        <v>402</v>
      </c>
      <c r="E49" s="19">
        <f>(150*10)+(200*14)</f>
        <v>4300</v>
      </c>
      <c r="F49" s="1" t="s">
        <v>404</v>
      </c>
    </row>
    <row r="52" spans="1:6" ht="23.25" x14ac:dyDescent="0.35">
      <c r="A52" s="77" t="s">
        <v>414</v>
      </c>
      <c r="B52" s="77"/>
      <c r="C52" s="77"/>
      <c r="D52" s="77"/>
      <c r="E52" s="77"/>
      <c r="F52" s="77"/>
    </row>
    <row r="54" spans="1:6" x14ac:dyDescent="0.25">
      <c r="A54" t="s">
        <v>415</v>
      </c>
    </row>
    <row r="55" spans="1:6" x14ac:dyDescent="0.25">
      <c r="A55" t="s">
        <v>416</v>
      </c>
    </row>
    <row r="56" spans="1:6" x14ac:dyDescent="0.25">
      <c r="A56" s="11" t="s">
        <v>386</v>
      </c>
      <c r="B56" s="3">
        <v>2700</v>
      </c>
    </row>
    <row r="57" spans="1:6" x14ac:dyDescent="0.25">
      <c r="A57" s="11" t="s">
        <v>387</v>
      </c>
      <c r="B57" s="3">
        <v>1560</v>
      </c>
    </row>
    <row r="59" spans="1:6" x14ac:dyDescent="0.25">
      <c r="A59" t="s">
        <v>417</v>
      </c>
    </row>
    <row r="61" spans="1:6" x14ac:dyDescent="0.25">
      <c r="A61" s="11" t="s">
        <v>386</v>
      </c>
      <c r="B61" s="3">
        <v>2700</v>
      </c>
      <c r="C61">
        <v>1</v>
      </c>
    </row>
    <row r="62" spans="1:6" x14ac:dyDescent="0.25">
      <c r="A62" s="11" t="s">
        <v>387</v>
      </c>
      <c r="B62" s="3">
        <v>1560</v>
      </c>
      <c r="C62">
        <v>2</v>
      </c>
    </row>
    <row r="64" spans="1:6" x14ac:dyDescent="0.25">
      <c r="A64" s="63" t="s">
        <v>418</v>
      </c>
    </row>
    <row r="65" spans="1:5" x14ac:dyDescent="0.25">
      <c r="A65" t="s">
        <v>419</v>
      </c>
      <c r="B65" s="3">
        <f>2700*5</f>
        <v>13500</v>
      </c>
      <c r="C65">
        <v>3</v>
      </c>
    </row>
    <row r="66" spans="1:5" x14ac:dyDescent="0.25">
      <c r="A66" t="s">
        <v>420</v>
      </c>
    </row>
    <row r="67" spans="1:5" x14ac:dyDescent="0.25">
      <c r="A67" t="s">
        <v>421</v>
      </c>
      <c r="B67" s="3">
        <f>1560*6</f>
        <v>9360</v>
      </c>
      <c r="C67">
        <v>4</v>
      </c>
    </row>
    <row r="68" spans="1:5" x14ac:dyDescent="0.25">
      <c r="A68" s="64" t="s">
        <v>422</v>
      </c>
    </row>
    <row r="69" spans="1:5" x14ac:dyDescent="0.25">
      <c r="A69" t="s">
        <v>423</v>
      </c>
      <c r="B69" s="7">
        <f>+B65-B67</f>
        <v>4140</v>
      </c>
    </row>
    <row r="70" spans="1:5" x14ac:dyDescent="0.25">
      <c r="A70" s="10" t="s">
        <v>424</v>
      </c>
      <c r="B70" s="18">
        <f>4140/21</f>
        <v>197.14285714285714</v>
      </c>
    </row>
    <row r="71" spans="1:5" x14ac:dyDescent="0.25">
      <c r="A71" t="s">
        <v>425</v>
      </c>
    </row>
    <row r="72" spans="1:5" x14ac:dyDescent="0.25">
      <c r="A72" s="11" t="s">
        <v>386</v>
      </c>
      <c r="B72" s="3">
        <v>2700</v>
      </c>
    </row>
    <row r="73" spans="1:5" x14ac:dyDescent="0.25">
      <c r="A73" t="s">
        <v>426</v>
      </c>
      <c r="B73" s="25">
        <v>2700</v>
      </c>
    </row>
    <row r="74" spans="1:5" x14ac:dyDescent="0.25">
      <c r="A74" t="s">
        <v>427</v>
      </c>
      <c r="B74" s="7">
        <f>B73-C74</f>
        <v>925.71428571428578</v>
      </c>
      <c r="C74" s="7">
        <f>B70*9</f>
        <v>1774.2857142857142</v>
      </c>
    </row>
    <row r="75" spans="1:5" x14ac:dyDescent="0.25">
      <c r="A75" s="10" t="s">
        <v>428</v>
      </c>
      <c r="B75" s="48">
        <f>B74/6</f>
        <v>154.28571428571431</v>
      </c>
    </row>
    <row r="77" spans="1:5" x14ac:dyDescent="0.25">
      <c r="A77" s="6" t="s">
        <v>429</v>
      </c>
      <c r="D77" s="5" t="s">
        <v>375</v>
      </c>
    </row>
    <row r="78" spans="1:5" x14ac:dyDescent="0.25">
      <c r="B78" t="s">
        <v>318</v>
      </c>
      <c r="C78" s="7">
        <f>+B75</f>
        <v>154.28571428571431</v>
      </c>
      <c r="D78" t="s">
        <v>430</v>
      </c>
      <c r="E78" s="7">
        <f>C78*10</f>
        <v>1542.8571428571431</v>
      </c>
    </row>
    <row r="79" spans="1:5" x14ac:dyDescent="0.25">
      <c r="B79" t="s">
        <v>319</v>
      </c>
      <c r="C79" s="7">
        <f>+B70</f>
        <v>197.14285714285714</v>
      </c>
      <c r="D79" t="s">
        <v>431</v>
      </c>
      <c r="E79" s="7">
        <f>C79*14</f>
        <v>2760</v>
      </c>
    </row>
    <row r="80" spans="1:5" ht="15.75" thickBot="1" x14ac:dyDescent="0.3">
      <c r="E80" s="9">
        <f>SUM(E78:E79)</f>
        <v>4302.8571428571431</v>
      </c>
    </row>
    <row r="81" spans="1:4" ht="15.75" thickTop="1" x14ac:dyDescent="0.25"/>
    <row r="82" spans="1:4" ht="18.75" x14ac:dyDescent="0.3">
      <c r="A82" s="65" t="s">
        <v>432</v>
      </c>
    </row>
    <row r="83" spans="1:4" x14ac:dyDescent="0.25">
      <c r="A83" t="s">
        <v>416</v>
      </c>
    </row>
    <row r="84" spans="1:4" x14ac:dyDescent="0.25">
      <c r="A84" t="s">
        <v>377</v>
      </c>
      <c r="B84" s="11" t="s">
        <v>386</v>
      </c>
      <c r="C84" s="3">
        <v>2700</v>
      </c>
      <c r="D84" t="s">
        <v>433</v>
      </c>
    </row>
    <row r="85" spans="1:4" x14ac:dyDescent="0.25">
      <c r="A85" t="s">
        <v>380</v>
      </c>
      <c r="B85" s="11" t="s">
        <v>387</v>
      </c>
      <c r="C85" s="3">
        <v>1560</v>
      </c>
      <c r="D85" t="s">
        <v>433</v>
      </c>
    </row>
    <row r="86" spans="1:4" x14ac:dyDescent="0.25">
      <c r="B86" s="11"/>
      <c r="C86" s="3"/>
    </row>
    <row r="87" spans="1:4" x14ac:dyDescent="0.25">
      <c r="A87" s="67" t="s">
        <v>436</v>
      </c>
      <c r="B87" s="11"/>
      <c r="C87" s="3"/>
    </row>
    <row r="88" spans="1:4" x14ac:dyDescent="0.25">
      <c r="A88" t="s">
        <v>435</v>
      </c>
    </row>
    <row r="89" spans="1:4" x14ac:dyDescent="0.25">
      <c r="A89" s="10" t="s">
        <v>377</v>
      </c>
      <c r="B89" s="66" t="s">
        <v>386</v>
      </c>
      <c r="C89" s="18">
        <v>2701</v>
      </c>
      <c r="D89" s="10" t="s">
        <v>434</v>
      </c>
    </row>
    <row r="90" spans="1:4" x14ac:dyDescent="0.25">
      <c r="A90" t="s">
        <v>380</v>
      </c>
      <c r="B90" s="11" t="s">
        <v>387</v>
      </c>
      <c r="C90" s="3">
        <v>1560</v>
      </c>
      <c r="D90" t="s">
        <v>433</v>
      </c>
    </row>
    <row r="91" spans="1:4" x14ac:dyDescent="0.25">
      <c r="A91" t="s">
        <v>417</v>
      </c>
    </row>
    <row r="92" spans="1:4" x14ac:dyDescent="0.25">
      <c r="B92" s="68" t="s">
        <v>386</v>
      </c>
      <c r="C92" s="69">
        <v>2701</v>
      </c>
      <c r="D92" t="s">
        <v>437</v>
      </c>
    </row>
    <row r="93" spans="1:4" x14ac:dyDescent="0.25">
      <c r="B93" s="11" t="s">
        <v>387</v>
      </c>
      <c r="C93" s="3">
        <v>1560</v>
      </c>
      <c r="D93" t="s">
        <v>438</v>
      </c>
    </row>
    <row r="95" spans="1:4" x14ac:dyDescent="0.25">
      <c r="B95" t="s">
        <v>439</v>
      </c>
      <c r="C95" s="3">
        <f>2701*5</f>
        <v>13505</v>
      </c>
    </row>
    <row r="96" spans="1:4" x14ac:dyDescent="0.25">
      <c r="B96" t="s">
        <v>440</v>
      </c>
      <c r="C96" s="3">
        <f>1560*6</f>
        <v>9360</v>
      </c>
    </row>
    <row r="97" spans="1:8" x14ac:dyDescent="0.25">
      <c r="B97" t="s">
        <v>423</v>
      </c>
      <c r="C97" s="7">
        <f>C95-C96</f>
        <v>4145</v>
      </c>
    </row>
    <row r="98" spans="1:8" x14ac:dyDescent="0.25">
      <c r="B98" t="s">
        <v>441</v>
      </c>
      <c r="C98" s="7">
        <f>C97/21</f>
        <v>197.38095238095238</v>
      </c>
    </row>
    <row r="99" spans="1:8" x14ac:dyDescent="0.25">
      <c r="B99" t="s">
        <v>442</v>
      </c>
    </row>
    <row r="100" spans="1:8" x14ac:dyDescent="0.25">
      <c r="B100" s="68" t="s">
        <v>386</v>
      </c>
      <c r="C100" s="69">
        <v>2701</v>
      </c>
    </row>
    <row r="101" spans="1:8" x14ac:dyDescent="0.25">
      <c r="B101" t="s">
        <v>443</v>
      </c>
      <c r="C101" s="3">
        <v>2701</v>
      </c>
    </row>
    <row r="102" spans="1:8" x14ac:dyDescent="0.25">
      <c r="B102" t="s">
        <v>427</v>
      </c>
      <c r="C102" s="7">
        <f>C101-D102</f>
        <v>924.57142857142867</v>
      </c>
      <c r="D102" s="7">
        <f>9*C98</f>
        <v>1776.4285714285713</v>
      </c>
    </row>
    <row r="103" spans="1:8" x14ac:dyDescent="0.25">
      <c r="B103" t="s">
        <v>428</v>
      </c>
      <c r="C103" s="7">
        <f>C102/6</f>
        <v>154.0952380952381</v>
      </c>
    </row>
    <row r="105" spans="1:8" x14ac:dyDescent="0.25">
      <c r="A105" t="s">
        <v>444</v>
      </c>
      <c r="B105" t="s">
        <v>445</v>
      </c>
      <c r="D105" s="7">
        <f>(C98*14)+(C103*10)</f>
        <v>4304.2857142857147</v>
      </c>
    </row>
    <row r="106" spans="1:8" x14ac:dyDescent="0.25">
      <c r="A106" t="s">
        <v>446</v>
      </c>
      <c r="D106" s="7">
        <f>+E80</f>
        <v>4302.8571428571431</v>
      </c>
    </row>
    <row r="107" spans="1:8" ht="15.75" thickBot="1" x14ac:dyDescent="0.3">
      <c r="A107" s="34" t="s">
        <v>448</v>
      </c>
      <c r="B107" s="34"/>
      <c r="C107" s="34"/>
      <c r="D107" s="58">
        <f>D105-D106</f>
        <v>1.4285714285715585</v>
      </c>
      <c r="E107" s="34" t="s">
        <v>447</v>
      </c>
      <c r="G107" t="s">
        <v>450</v>
      </c>
      <c r="H107" s="3">
        <f>1.43*60</f>
        <v>85.8</v>
      </c>
    </row>
    <row r="108" spans="1:8" ht="15.75" thickTop="1" x14ac:dyDescent="0.25">
      <c r="H108" s="3">
        <v>120</v>
      </c>
    </row>
    <row r="109" spans="1:8" x14ac:dyDescent="0.25">
      <c r="H109" s="3">
        <f>SUM(H107:H108)</f>
        <v>205.8</v>
      </c>
    </row>
    <row r="110" spans="1:8" x14ac:dyDescent="0.25">
      <c r="A110" s="67" t="s">
        <v>449</v>
      </c>
      <c r="B110" s="11"/>
      <c r="C110" s="3"/>
    </row>
    <row r="111" spans="1:8" x14ac:dyDescent="0.25">
      <c r="A111" t="s">
        <v>451</v>
      </c>
    </row>
    <row r="112" spans="1:8" x14ac:dyDescent="0.25">
      <c r="A112" s="70" t="s">
        <v>377</v>
      </c>
      <c r="B112" s="68" t="s">
        <v>386</v>
      </c>
      <c r="C112" s="69">
        <v>2700</v>
      </c>
      <c r="D112" t="s">
        <v>433</v>
      </c>
    </row>
    <row r="113" spans="1:4" x14ac:dyDescent="0.25">
      <c r="A113" s="10" t="s">
        <v>380</v>
      </c>
      <c r="B113" s="66" t="s">
        <v>387</v>
      </c>
      <c r="C113" s="18">
        <v>1561</v>
      </c>
      <c r="D113" s="10" t="s">
        <v>434</v>
      </c>
    </row>
    <row r="114" spans="1:4" x14ac:dyDescent="0.25">
      <c r="A114" t="s">
        <v>417</v>
      </c>
    </row>
    <row r="115" spans="1:4" x14ac:dyDescent="0.25">
      <c r="B115" s="68" t="s">
        <v>386</v>
      </c>
      <c r="C115" s="69">
        <v>2700</v>
      </c>
      <c r="D115" t="s">
        <v>437</v>
      </c>
    </row>
    <row r="116" spans="1:4" x14ac:dyDescent="0.25">
      <c r="B116" s="11" t="s">
        <v>387</v>
      </c>
      <c r="C116" s="3">
        <v>1561</v>
      </c>
      <c r="D116" t="s">
        <v>438</v>
      </c>
    </row>
    <row r="118" spans="1:4" x14ac:dyDescent="0.25">
      <c r="B118" t="s">
        <v>439</v>
      </c>
      <c r="C118" s="3">
        <v>13500</v>
      </c>
    </row>
    <row r="119" spans="1:4" x14ac:dyDescent="0.25">
      <c r="B119" t="s">
        <v>440</v>
      </c>
      <c r="C119" s="3">
        <f>1561*6</f>
        <v>9366</v>
      </c>
    </row>
    <row r="120" spans="1:4" x14ac:dyDescent="0.25">
      <c r="B120" t="s">
        <v>423</v>
      </c>
      <c r="C120" s="7">
        <f>C118-C119</f>
        <v>4134</v>
      </c>
    </row>
    <row r="121" spans="1:4" x14ac:dyDescent="0.25">
      <c r="B121" t="s">
        <v>441</v>
      </c>
      <c r="C121" s="7">
        <f>C120/21</f>
        <v>196.85714285714286</v>
      </c>
    </row>
    <row r="122" spans="1:4" x14ac:dyDescent="0.25">
      <c r="B122" t="s">
        <v>442</v>
      </c>
    </row>
    <row r="123" spans="1:4" x14ac:dyDescent="0.25">
      <c r="B123" s="68" t="s">
        <v>386</v>
      </c>
      <c r="C123" s="69">
        <v>2700</v>
      </c>
    </row>
    <row r="124" spans="1:4" x14ac:dyDescent="0.25">
      <c r="B124" t="s">
        <v>452</v>
      </c>
      <c r="C124" s="3">
        <v>2700</v>
      </c>
    </row>
    <row r="125" spans="1:4" x14ac:dyDescent="0.25">
      <c r="B125" t="s">
        <v>427</v>
      </c>
      <c r="C125" s="7">
        <f>C124-D125</f>
        <v>928.28571428571422</v>
      </c>
      <c r="D125" s="7">
        <f>9*C121</f>
        <v>1771.7142857142858</v>
      </c>
    </row>
    <row r="126" spans="1:4" x14ac:dyDescent="0.25">
      <c r="B126" t="s">
        <v>428</v>
      </c>
      <c r="C126" s="7">
        <f>C125/6</f>
        <v>154.71428571428569</v>
      </c>
    </row>
    <row r="128" spans="1:4" x14ac:dyDescent="0.25">
      <c r="A128" t="s">
        <v>444</v>
      </c>
      <c r="B128" t="s">
        <v>453</v>
      </c>
      <c r="D128" s="7">
        <f>(C121*14)+(C126*10)</f>
        <v>4303.1428571428569</v>
      </c>
    </row>
    <row r="129" spans="1:8" x14ac:dyDescent="0.25">
      <c r="A129" t="s">
        <v>446</v>
      </c>
      <c r="D129" s="7">
        <f>+E80</f>
        <v>4302.8571428571431</v>
      </c>
    </row>
    <row r="130" spans="1:8" ht="15.75" thickBot="1" x14ac:dyDescent="0.3">
      <c r="A130" t="s">
        <v>448</v>
      </c>
      <c r="D130" s="9">
        <f>D128-D129</f>
        <v>0.285714285713766</v>
      </c>
      <c r="E130" t="s">
        <v>454</v>
      </c>
      <c r="G130" t="s">
        <v>455</v>
      </c>
      <c r="H130" s="3">
        <f>+D130*60</f>
        <v>17.14285714282596</v>
      </c>
    </row>
    <row r="131" spans="1:8" ht="15.75" thickTop="1" x14ac:dyDescent="0.25">
      <c r="H131" s="3">
        <v>150</v>
      </c>
    </row>
    <row r="132" spans="1:8" x14ac:dyDescent="0.25">
      <c r="H132" s="7">
        <f>SUM(H130:H131)</f>
        <v>167.14285714282596</v>
      </c>
    </row>
  </sheetData>
  <mergeCells count="1">
    <mergeCell ref="A52:F52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4"/>
  <sheetViews>
    <sheetView workbookViewId="0">
      <selection activeCell="N22" sqref="N22"/>
    </sheetView>
  </sheetViews>
  <sheetFormatPr defaultRowHeight="15" x14ac:dyDescent="0.25"/>
  <cols>
    <col min="1" max="1" width="20.42578125" customWidth="1"/>
    <col min="2" max="2" width="13.140625" bestFit="1" customWidth="1"/>
    <col min="3" max="3" width="10.85546875" customWidth="1"/>
    <col min="4" max="4" width="10" bestFit="1" customWidth="1"/>
  </cols>
  <sheetData>
    <row r="2" spans="1:8" x14ac:dyDescent="0.25">
      <c r="A2" s="6" t="s">
        <v>456</v>
      </c>
    </row>
    <row r="4" spans="1:8" x14ac:dyDescent="0.25">
      <c r="A4" s="12" t="s">
        <v>361</v>
      </c>
    </row>
    <row r="6" spans="1:8" x14ac:dyDescent="0.25">
      <c r="B6" t="s">
        <v>362</v>
      </c>
      <c r="C6" t="s">
        <v>457</v>
      </c>
    </row>
    <row r="7" spans="1:8" x14ac:dyDescent="0.25">
      <c r="B7" t="s">
        <v>363</v>
      </c>
      <c r="C7" t="s">
        <v>458</v>
      </c>
    </row>
    <row r="9" spans="1:8" x14ac:dyDescent="0.25">
      <c r="A9" s="12" t="s">
        <v>366</v>
      </c>
    </row>
    <row r="10" spans="1:8" x14ac:dyDescent="0.25">
      <c r="H10" s="11" t="s">
        <v>319</v>
      </c>
    </row>
    <row r="11" spans="1:8" x14ac:dyDescent="0.25">
      <c r="B11" t="s">
        <v>367</v>
      </c>
      <c r="C11" s="5" t="s">
        <v>459</v>
      </c>
      <c r="H11" s="57" t="s">
        <v>392</v>
      </c>
    </row>
    <row r="12" spans="1:8" x14ac:dyDescent="0.25">
      <c r="H12">
        <v>50</v>
      </c>
    </row>
    <row r="13" spans="1:8" x14ac:dyDescent="0.25">
      <c r="A13" s="12" t="s">
        <v>376</v>
      </c>
    </row>
    <row r="15" spans="1:8" x14ac:dyDescent="0.25">
      <c r="A15" t="s">
        <v>460</v>
      </c>
      <c r="B15" s="11" t="s">
        <v>461</v>
      </c>
      <c r="C15" s="3">
        <v>100</v>
      </c>
      <c r="H15" t="s">
        <v>485</v>
      </c>
    </row>
    <row r="16" spans="1:8" x14ac:dyDescent="0.25">
      <c r="A16" t="s">
        <v>462</v>
      </c>
      <c r="B16" s="11" t="s">
        <v>463</v>
      </c>
      <c r="C16" s="3">
        <v>180</v>
      </c>
      <c r="H16">
        <v>40</v>
      </c>
    </row>
    <row r="17" spans="1:13" x14ac:dyDescent="0.25">
      <c r="A17" t="s">
        <v>464</v>
      </c>
      <c r="B17" s="11" t="s">
        <v>465</v>
      </c>
      <c r="C17" s="3">
        <v>40</v>
      </c>
    </row>
    <row r="18" spans="1:13" x14ac:dyDescent="0.25">
      <c r="A18" t="s">
        <v>466</v>
      </c>
      <c r="B18" s="11" t="s">
        <v>468</v>
      </c>
      <c r="C18" s="3">
        <v>20</v>
      </c>
    </row>
    <row r="19" spans="1:13" x14ac:dyDescent="0.25">
      <c r="A19" t="s">
        <v>467</v>
      </c>
      <c r="B19" s="11" t="s">
        <v>469</v>
      </c>
      <c r="C19" s="3">
        <v>10</v>
      </c>
      <c r="H19" t="s">
        <v>393</v>
      </c>
    </row>
    <row r="20" spans="1:13" x14ac:dyDescent="0.25">
      <c r="A20" t="s">
        <v>470</v>
      </c>
      <c r="B20" s="11" t="s">
        <v>471</v>
      </c>
      <c r="C20" s="71" t="s">
        <v>472</v>
      </c>
      <c r="H20">
        <v>30</v>
      </c>
      <c r="I20" t="s">
        <v>34</v>
      </c>
      <c r="L20" s="12" t="s">
        <v>487</v>
      </c>
    </row>
    <row r="22" spans="1:13" x14ac:dyDescent="0.25">
      <c r="A22" s="12" t="s">
        <v>385</v>
      </c>
    </row>
    <row r="23" spans="1:13" x14ac:dyDescent="0.25">
      <c r="A23" t="s">
        <v>460</v>
      </c>
      <c r="B23" s="11" t="s">
        <v>473</v>
      </c>
      <c r="C23" s="3">
        <v>100</v>
      </c>
      <c r="D23" t="s">
        <v>477</v>
      </c>
      <c r="E23" t="s">
        <v>478</v>
      </c>
    </row>
    <row r="24" spans="1:13" x14ac:dyDescent="0.25">
      <c r="A24" t="s">
        <v>462</v>
      </c>
      <c r="B24" s="11" t="s">
        <v>474</v>
      </c>
      <c r="C24" s="3">
        <v>180</v>
      </c>
      <c r="D24" t="s">
        <v>484</v>
      </c>
      <c r="E24" t="s">
        <v>479</v>
      </c>
      <c r="H24">
        <v>20</v>
      </c>
      <c r="L24" t="s">
        <v>37</v>
      </c>
    </row>
    <row r="25" spans="1:13" x14ac:dyDescent="0.25">
      <c r="A25" t="s">
        <v>464</v>
      </c>
      <c r="B25" s="11" t="s">
        <v>475</v>
      </c>
      <c r="C25" s="3">
        <v>40</v>
      </c>
      <c r="D25" t="s">
        <v>483</v>
      </c>
      <c r="E25" t="s">
        <v>480</v>
      </c>
    </row>
    <row r="26" spans="1:13" x14ac:dyDescent="0.25">
      <c r="A26" t="s">
        <v>466</v>
      </c>
      <c r="B26" s="11" t="s">
        <v>476</v>
      </c>
      <c r="C26" s="3">
        <v>20</v>
      </c>
      <c r="D26" t="s">
        <v>481</v>
      </c>
    </row>
    <row r="27" spans="1:13" x14ac:dyDescent="0.25">
      <c r="A27" t="s">
        <v>467</v>
      </c>
      <c r="B27" s="11" t="s">
        <v>441</v>
      </c>
      <c r="C27" s="3">
        <v>10</v>
      </c>
      <c r="D27" t="s">
        <v>482</v>
      </c>
    </row>
    <row r="28" spans="1:13" x14ac:dyDescent="0.25">
      <c r="H28">
        <v>10</v>
      </c>
      <c r="M28" t="s">
        <v>40</v>
      </c>
    </row>
    <row r="29" spans="1:13" x14ac:dyDescent="0.25">
      <c r="A29" s="12" t="s">
        <v>395</v>
      </c>
      <c r="I29" t="s">
        <v>32</v>
      </c>
    </row>
    <row r="30" spans="1:13" x14ac:dyDescent="0.25">
      <c r="A30" s="10" t="s">
        <v>488</v>
      </c>
      <c r="C30" s="5" t="s">
        <v>459</v>
      </c>
    </row>
    <row r="31" spans="1:13" x14ac:dyDescent="0.25">
      <c r="A31" s="57" t="s">
        <v>32</v>
      </c>
      <c r="B31" t="s">
        <v>489</v>
      </c>
      <c r="C31" t="s">
        <v>493</v>
      </c>
      <c r="D31">
        <v>40</v>
      </c>
    </row>
    <row r="32" spans="1:13" x14ac:dyDescent="0.25">
      <c r="A32" s="57" t="s">
        <v>34</v>
      </c>
      <c r="B32" t="s">
        <v>491</v>
      </c>
      <c r="C32" t="s">
        <v>494</v>
      </c>
      <c r="D32">
        <f>30*4</f>
        <v>120</v>
      </c>
    </row>
    <row r="33" spans="1:19" x14ac:dyDescent="0.25">
      <c r="A33" s="72" t="s">
        <v>37</v>
      </c>
      <c r="B33" s="1" t="s">
        <v>490</v>
      </c>
      <c r="C33" s="1" t="s">
        <v>495</v>
      </c>
      <c r="D33" s="1">
        <f>+(3*15)+(4*20)</f>
        <v>125</v>
      </c>
      <c r="E33" s="1" t="s">
        <v>404</v>
      </c>
      <c r="H33">
        <v>0</v>
      </c>
      <c r="J33">
        <v>10</v>
      </c>
      <c r="L33">
        <v>20</v>
      </c>
      <c r="N33">
        <v>30</v>
      </c>
      <c r="P33">
        <v>40</v>
      </c>
      <c r="R33">
        <v>50</v>
      </c>
      <c r="S33" t="s">
        <v>318</v>
      </c>
    </row>
    <row r="34" spans="1:19" x14ac:dyDescent="0.25">
      <c r="A34" s="57" t="s">
        <v>40</v>
      </c>
      <c r="B34" t="s">
        <v>492</v>
      </c>
      <c r="C34" t="s">
        <v>496</v>
      </c>
      <c r="D34">
        <f>+(3*20)+(4*10)</f>
        <v>100</v>
      </c>
      <c r="L34" s="11" t="s">
        <v>486</v>
      </c>
      <c r="N34" t="s">
        <v>392</v>
      </c>
      <c r="Q34" s="57" t="s">
        <v>485</v>
      </c>
      <c r="R34" s="11" t="s">
        <v>393</v>
      </c>
    </row>
    <row r="36" spans="1:19" x14ac:dyDescent="0.25">
      <c r="A36" s="57" t="s">
        <v>350</v>
      </c>
    </row>
    <row r="37" spans="1:19" x14ac:dyDescent="0.25">
      <c r="A37" s="57" t="s">
        <v>497</v>
      </c>
      <c r="B37">
        <v>15</v>
      </c>
    </row>
    <row r="38" spans="1:19" x14ac:dyDescent="0.25">
      <c r="A38" s="57" t="s">
        <v>498</v>
      </c>
      <c r="B38">
        <v>20</v>
      </c>
    </row>
    <row r="40" spans="1:19" ht="21" x14ac:dyDescent="0.35">
      <c r="A40" s="73" t="s">
        <v>499</v>
      </c>
    </row>
    <row r="41" spans="1:19" x14ac:dyDescent="0.25">
      <c r="A41" s="2" t="s">
        <v>500</v>
      </c>
    </row>
    <row r="42" spans="1:19" x14ac:dyDescent="0.25">
      <c r="A42" t="s">
        <v>460</v>
      </c>
      <c r="B42" s="11" t="s">
        <v>473</v>
      </c>
      <c r="C42" s="3">
        <v>100</v>
      </c>
      <c r="D42" t="s">
        <v>433</v>
      </c>
    </row>
    <row r="43" spans="1:19" x14ac:dyDescent="0.25">
      <c r="A43" t="s">
        <v>462</v>
      </c>
      <c r="B43" s="11" t="s">
        <v>474</v>
      </c>
      <c r="C43" s="3">
        <v>180</v>
      </c>
      <c r="D43" t="s">
        <v>433</v>
      </c>
    </row>
    <row r="45" spans="1:19" x14ac:dyDescent="0.25">
      <c r="A45" s="12" t="s">
        <v>501</v>
      </c>
    </row>
    <row r="46" spans="1:19" x14ac:dyDescent="0.25">
      <c r="A46" t="s">
        <v>460</v>
      </c>
      <c r="B46" s="11" t="s">
        <v>473</v>
      </c>
      <c r="C46" s="3">
        <v>101</v>
      </c>
      <c r="D46" t="s">
        <v>434</v>
      </c>
      <c r="E46">
        <v>1</v>
      </c>
    </row>
    <row r="47" spans="1:19" x14ac:dyDescent="0.25">
      <c r="A47" t="s">
        <v>462</v>
      </c>
      <c r="B47" s="11" t="s">
        <v>474</v>
      </c>
      <c r="C47" s="3">
        <v>180</v>
      </c>
      <c r="D47" t="s">
        <v>433</v>
      </c>
      <c r="E47">
        <v>2</v>
      </c>
    </row>
    <row r="48" spans="1:19" x14ac:dyDescent="0.25">
      <c r="B48" s="64" t="s">
        <v>502</v>
      </c>
    </row>
    <row r="49" spans="1:5" x14ac:dyDescent="0.25">
      <c r="B49" t="s">
        <v>503</v>
      </c>
      <c r="C49">
        <v>79</v>
      </c>
    </row>
    <row r="50" spans="1:5" x14ac:dyDescent="0.25">
      <c r="B50" t="s">
        <v>424</v>
      </c>
      <c r="C50">
        <f>79/4</f>
        <v>19.75</v>
      </c>
    </row>
    <row r="52" spans="1:5" x14ac:dyDescent="0.25">
      <c r="B52" s="11" t="s">
        <v>473</v>
      </c>
      <c r="C52" s="3">
        <v>101</v>
      </c>
    </row>
    <row r="53" spans="1:5" x14ac:dyDescent="0.25">
      <c r="B53" t="s">
        <v>504</v>
      </c>
      <c r="C53" s="3">
        <v>101</v>
      </c>
    </row>
    <row r="54" spans="1:5" x14ac:dyDescent="0.25">
      <c r="B54" t="s">
        <v>505</v>
      </c>
      <c r="C54" s="7">
        <f>+C53-D54</f>
        <v>61.5</v>
      </c>
      <c r="D54">
        <f>2*C50</f>
        <v>39.5</v>
      </c>
    </row>
    <row r="55" spans="1:5" x14ac:dyDescent="0.25">
      <c r="B55" t="s">
        <v>428</v>
      </c>
      <c r="C55" s="7">
        <f>C54/4</f>
        <v>15.375</v>
      </c>
    </row>
    <row r="57" spans="1:5" x14ac:dyDescent="0.25">
      <c r="A57" t="s">
        <v>444</v>
      </c>
      <c r="B57" t="s">
        <v>506</v>
      </c>
      <c r="D57" s="74">
        <f>(C50*4)+(C55*3)</f>
        <v>125.125</v>
      </c>
    </row>
    <row r="58" spans="1:5" x14ac:dyDescent="0.25">
      <c r="A58" t="s">
        <v>446</v>
      </c>
      <c r="D58" s="74">
        <f>+D33</f>
        <v>125</v>
      </c>
    </row>
    <row r="59" spans="1:5" ht="15.75" thickBot="1" x14ac:dyDescent="0.3">
      <c r="A59" s="34" t="s">
        <v>448</v>
      </c>
      <c r="B59" s="34"/>
      <c r="C59" s="34"/>
      <c r="D59" s="75">
        <f>D57-D58</f>
        <v>0.125</v>
      </c>
      <c r="E59" t="s">
        <v>507</v>
      </c>
    </row>
    <row r="60" spans="1:5" ht="15.75" thickTop="1" x14ac:dyDescent="0.25"/>
    <row r="61" spans="1:5" x14ac:dyDescent="0.25">
      <c r="A61" s="12" t="s">
        <v>508</v>
      </c>
    </row>
    <row r="62" spans="1:5" x14ac:dyDescent="0.25">
      <c r="A62" t="s">
        <v>460</v>
      </c>
      <c r="B62" s="11" t="s">
        <v>473</v>
      </c>
      <c r="C62" s="3">
        <v>100</v>
      </c>
      <c r="D62" t="s">
        <v>433</v>
      </c>
      <c r="E62">
        <v>1</v>
      </c>
    </row>
    <row r="63" spans="1:5" x14ac:dyDescent="0.25">
      <c r="A63" t="s">
        <v>462</v>
      </c>
      <c r="B63" s="11" t="s">
        <v>474</v>
      </c>
      <c r="C63" s="3">
        <v>181</v>
      </c>
      <c r="D63" t="s">
        <v>434</v>
      </c>
      <c r="E63">
        <v>2</v>
      </c>
    </row>
    <row r="64" spans="1:5" x14ac:dyDescent="0.25">
      <c r="B64" s="64" t="s">
        <v>502</v>
      </c>
    </row>
    <row r="65" spans="1:5" x14ac:dyDescent="0.25">
      <c r="B65" t="s">
        <v>503</v>
      </c>
      <c r="C65">
        <v>81</v>
      </c>
    </row>
    <row r="66" spans="1:5" x14ac:dyDescent="0.25">
      <c r="B66" t="s">
        <v>424</v>
      </c>
      <c r="C66">
        <f>C65/4</f>
        <v>20.25</v>
      </c>
    </row>
    <row r="68" spans="1:5" x14ac:dyDescent="0.25">
      <c r="B68" s="11" t="s">
        <v>473</v>
      </c>
      <c r="C68" s="3">
        <v>100</v>
      </c>
    </row>
    <row r="69" spans="1:5" x14ac:dyDescent="0.25">
      <c r="B69" t="s">
        <v>509</v>
      </c>
      <c r="C69" s="3">
        <v>100</v>
      </c>
    </row>
    <row r="70" spans="1:5" x14ac:dyDescent="0.25">
      <c r="B70" t="s">
        <v>505</v>
      </c>
      <c r="C70" s="7">
        <f>+C69-D70</f>
        <v>59.5</v>
      </c>
      <c r="D70">
        <f>2*C66</f>
        <v>40.5</v>
      </c>
    </row>
    <row r="71" spans="1:5" x14ac:dyDescent="0.25">
      <c r="B71" t="s">
        <v>428</v>
      </c>
      <c r="C71" s="7">
        <f>C70/4</f>
        <v>14.875</v>
      </c>
    </row>
    <row r="73" spans="1:5" x14ac:dyDescent="0.25">
      <c r="A73" t="s">
        <v>444</v>
      </c>
      <c r="B73" t="s">
        <v>510</v>
      </c>
      <c r="D73" s="74">
        <f>(C66*4)+(C71*3)</f>
        <v>125.625</v>
      </c>
    </row>
    <row r="74" spans="1:5" x14ac:dyDescent="0.25">
      <c r="A74" t="s">
        <v>446</v>
      </c>
      <c r="D74" s="74">
        <f>+D33</f>
        <v>125</v>
      </c>
    </row>
    <row r="75" spans="1:5" ht="15.75" thickBot="1" x14ac:dyDescent="0.3">
      <c r="A75" s="34" t="s">
        <v>448</v>
      </c>
      <c r="B75" s="34"/>
      <c r="C75" s="34"/>
      <c r="D75" s="75">
        <f>D73-D74</f>
        <v>0.625</v>
      </c>
      <c r="E75" t="s">
        <v>511</v>
      </c>
    </row>
    <row r="76" spans="1:5" ht="15.75" thickTop="1" x14ac:dyDescent="0.25"/>
    <row r="77" spans="1:5" x14ac:dyDescent="0.25">
      <c r="A77" s="6" t="s">
        <v>512</v>
      </c>
    </row>
    <row r="79" spans="1:5" x14ac:dyDescent="0.25">
      <c r="A79" t="s">
        <v>513</v>
      </c>
      <c r="C79" s="3">
        <v>40</v>
      </c>
    </row>
    <row r="80" spans="1:5" x14ac:dyDescent="0.25">
      <c r="A80" t="s">
        <v>516</v>
      </c>
      <c r="C80" s="3"/>
    </row>
    <row r="81" spans="1:3" x14ac:dyDescent="0.25">
      <c r="A81" t="s">
        <v>497</v>
      </c>
      <c r="B81" t="s">
        <v>514</v>
      </c>
      <c r="C81" s="3"/>
    </row>
    <row r="82" spans="1:3" x14ac:dyDescent="0.25">
      <c r="A82" t="s">
        <v>498</v>
      </c>
      <c r="B82" t="s">
        <v>515</v>
      </c>
      <c r="C82" s="3">
        <v>-35</v>
      </c>
    </row>
    <row r="83" spans="1:3" ht="15.75" thickBot="1" x14ac:dyDescent="0.3">
      <c r="C83" s="16">
        <f>SUM(C79:C82)</f>
        <v>5</v>
      </c>
    </row>
    <row r="84" spans="1:3" ht="15.75" thickTop="1" x14ac:dyDescent="0.25"/>
  </sheetData>
  <pageMargins left="0.7" right="0.7" top="0.75" bottom="0.75" header="0.3" footer="0.3"/>
  <pageSetup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1" sqref="F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2" sqref="N22"/>
    </sheetView>
  </sheetViews>
  <sheetFormatPr defaultRowHeight="15" x14ac:dyDescent="0.25"/>
  <sheetData/>
  <phoneticPr fontId="10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B21" sqref="B21"/>
    </sheetView>
  </sheetViews>
  <sheetFormatPr defaultRowHeight="15" x14ac:dyDescent="0.25"/>
  <cols>
    <col min="1" max="1" width="18.28515625" customWidth="1"/>
    <col min="2" max="2" width="12.140625" bestFit="1" customWidth="1"/>
    <col min="3" max="3" width="11.5703125" bestFit="1" customWidth="1"/>
  </cols>
  <sheetData>
    <row r="2" spans="1:3" x14ac:dyDescent="0.25">
      <c r="A2" s="6" t="s">
        <v>200</v>
      </c>
    </row>
    <row r="4" spans="1:3" x14ac:dyDescent="0.25">
      <c r="A4" t="s">
        <v>201</v>
      </c>
      <c r="C4" s="3">
        <v>200000</v>
      </c>
    </row>
    <row r="5" spans="1:3" x14ac:dyDescent="0.25">
      <c r="A5" t="s">
        <v>202</v>
      </c>
      <c r="B5" t="s">
        <v>26</v>
      </c>
      <c r="C5" s="3">
        <f>+C4*0.85</f>
        <v>170000</v>
      </c>
    </row>
    <row r="6" spans="1:3" x14ac:dyDescent="0.25">
      <c r="A6" t="s">
        <v>203</v>
      </c>
      <c r="C6" s="7">
        <f>+C4-C5</f>
        <v>30000</v>
      </c>
    </row>
    <row r="8" spans="1:3" x14ac:dyDescent="0.25">
      <c r="A8" s="8" t="s">
        <v>11</v>
      </c>
    </row>
    <row r="9" spans="1:3" x14ac:dyDescent="0.25">
      <c r="A9" t="s">
        <v>27</v>
      </c>
      <c r="B9" t="s">
        <v>205</v>
      </c>
      <c r="C9" s="3">
        <f>25*15000</f>
        <v>375000</v>
      </c>
    </row>
    <row r="10" spans="1:3" x14ac:dyDescent="0.25">
      <c r="A10" t="s">
        <v>204</v>
      </c>
      <c r="C10" s="3">
        <v>0</v>
      </c>
    </row>
    <row r="11" spans="1:3" x14ac:dyDescent="0.25">
      <c r="A11" t="s">
        <v>28</v>
      </c>
      <c r="C11" s="3">
        <v>0</v>
      </c>
    </row>
    <row r="12" spans="1:3" ht="15.75" thickBot="1" x14ac:dyDescent="0.3">
      <c r="C12" s="9">
        <f>SUM(C9:C11)</f>
        <v>375000</v>
      </c>
    </row>
    <row r="13" spans="1:3" ht="15.75" thickTop="1" x14ac:dyDescent="0.25"/>
  </sheetData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23" sqref="P23"/>
    </sheetView>
  </sheetViews>
  <sheetFormatPr defaultRowHeight="15" x14ac:dyDescent="0.25"/>
  <sheetData/>
  <pageMargins left="0.7" right="0.7" top="0.75" bottom="0.75" header="0.3" footer="0.3"/>
  <pageSetup orientation="portrait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1" sqref="J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M22" sqref="M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21" sqref="G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1" sqref="K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workbookViewId="0">
      <selection activeCell="B21" sqref="B21"/>
    </sheetView>
  </sheetViews>
  <sheetFormatPr defaultRowHeight="15" x14ac:dyDescent="0.25"/>
  <cols>
    <col min="1" max="1" width="25.140625" bestFit="1" customWidth="1"/>
    <col min="2" max="2" width="14.85546875" bestFit="1" customWidth="1"/>
    <col min="3" max="3" width="10.5703125" bestFit="1" customWidth="1"/>
  </cols>
  <sheetData>
    <row r="2" spans="1:3" x14ac:dyDescent="0.25">
      <c r="A2" s="6" t="s">
        <v>206</v>
      </c>
    </row>
    <row r="4" spans="1:3" x14ac:dyDescent="0.25">
      <c r="A4" s="12" t="s">
        <v>207</v>
      </c>
    </row>
    <row r="6" spans="1:3" x14ac:dyDescent="0.25">
      <c r="A6" t="s">
        <v>27</v>
      </c>
      <c r="B6" t="s">
        <v>208</v>
      </c>
      <c r="C6" s="3">
        <f>1500*15</f>
        <v>22500</v>
      </c>
    </row>
    <row r="7" spans="1:3" x14ac:dyDescent="0.25">
      <c r="A7" t="s">
        <v>209</v>
      </c>
      <c r="C7" s="3">
        <v>5000</v>
      </c>
    </row>
    <row r="8" spans="1:3" x14ac:dyDescent="0.25">
      <c r="A8" t="s">
        <v>28</v>
      </c>
      <c r="B8" t="s">
        <v>210</v>
      </c>
      <c r="C8" s="3">
        <f>(1500*3*8)</f>
        <v>36000</v>
      </c>
    </row>
    <row r="9" spans="1:3" ht="15.75" thickBot="1" x14ac:dyDescent="0.3">
      <c r="C9" s="9">
        <f>SUM(C6:C8)</f>
        <v>63500</v>
      </c>
    </row>
    <row r="10" spans="1:3" ht="15.75" thickTop="1" x14ac:dyDescent="0.25"/>
  </sheetData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22" sqref="L22"/>
    </sheetView>
  </sheetViews>
  <sheetFormatPr defaultRowHeight="15" x14ac:dyDescent="0.25"/>
  <sheetData/>
  <pageMargins left="0.7" right="0.7" top="0.75" bottom="0.75" header="0.3" footer="0.3"/>
  <pageSetup orientation="portrait" verticalDpi="0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21" sqref="M21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2" sqref="K2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8"/>
  <sheetViews>
    <sheetView workbookViewId="0">
      <selection activeCell="M22" sqref="M22"/>
    </sheetView>
  </sheetViews>
  <sheetFormatPr defaultRowHeight="15" x14ac:dyDescent="0.25"/>
  <cols>
    <col min="1" max="1" width="25.7109375" bestFit="1" customWidth="1"/>
    <col min="2" max="2" width="15.140625" customWidth="1"/>
    <col min="3" max="3" width="14.28515625" bestFit="1" customWidth="1"/>
  </cols>
  <sheetData>
    <row r="2" spans="1:4" x14ac:dyDescent="0.25">
      <c r="A2" s="6" t="s">
        <v>178</v>
      </c>
    </row>
    <row r="5" spans="1:4" x14ac:dyDescent="0.25">
      <c r="A5" t="s">
        <v>182</v>
      </c>
      <c r="B5" t="s">
        <v>187</v>
      </c>
      <c r="C5" s="3">
        <f>60000*410</f>
        <v>24600000</v>
      </c>
      <c r="D5" t="s">
        <v>180</v>
      </c>
    </row>
    <row r="6" spans="1:4" x14ac:dyDescent="0.25">
      <c r="D6" t="s">
        <v>181</v>
      </c>
    </row>
    <row r="7" spans="1:4" x14ac:dyDescent="0.25">
      <c r="D7" t="s">
        <v>179</v>
      </c>
    </row>
    <row r="9" spans="1:4" x14ac:dyDescent="0.25">
      <c r="A9" t="s">
        <v>183</v>
      </c>
      <c r="B9" t="s">
        <v>188</v>
      </c>
      <c r="C9" s="3">
        <f>10000*1450</f>
        <v>14500000</v>
      </c>
      <c r="D9" t="s">
        <v>184</v>
      </c>
    </row>
    <row r="10" spans="1:4" x14ac:dyDescent="0.25">
      <c r="D10" t="s">
        <v>185</v>
      </c>
    </row>
    <row r="11" spans="1:4" x14ac:dyDescent="0.25">
      <c r="D11" t="s">
        <v>186</v>
      </c>
    </row>
    <row r="13" spans="1:4" x14ac:dyDescent="0.25">
      <c r="A13" t="s">
        <v>190</v>
      </c>
      <c r="C13" s="3">
        <v>0</v>
      </c>
      <c r="D13" t="s">
        <v>189</v>
      </c>
    </row>
    <row r="14" spans="1:4" x14ac:dyDescent="0.25">
      <c r="D14" t="s">
        <v>191</v>
      </c>
    </row>
    <row r="15" spans="1:4" x14ac:dyDescent="0.25">
      <c r="D15" t="s">
        <v>192</v>
      </c>
    </row>
    <row r="17" spans="1:4" x14ac:dyDescent="0.25">
      <c r="A17" t="s">
        <v>79</v>
      </c>
      <c r="C17" s="3">
        <v>4800000</v>
      </c>
      <c r="D17" t="s">
        <v>193</v>
      </c>
    </row>
    <row r="19" spans="1:4" x14ac:dyDescent="0.25">
      <c r="A19" t="s">
        <v>90</v>
      </c>
      <c r="C19" s="3">
        <v>2000000</v>
      </c>
      <c r="D19" t="s">
        <v>194</v>
      </c>
    </row>
    <row r="21" spans="1:4" x14ac:dyDescent="0.25">
      <c r="A21" t="s">
        <v>80</v>
      </c>
      <c r="B21" t="s">
        <v>81</v>
      </c>
      <c r="C21" s="3">
        <f>6400000*0.4</f>
        <v>2560000</v>
      </c>
      <c r="D21" t="s">
        <v>195</v>
      </c>
    </row>
    <row r="22" spans="1:4" x14ac:dyDescent="0.25">
      <c r="D22" t="s">
        <v>196</v>
      </c>
    </row>
    <row r="24" spans="1:4" x14ac:dyDescent="0.25">
      <c r="A24" t="s">
        <v>28</v>
      </c>
      <c r="B24" t="s">
        <v>91</v>
      </c>
      <c r="C24" s="3">
        <f>50000*500</f>
        <v>25000000</v>
      </c>
      <c r="D24" t="s">
        <v>197</v>
      </c>
    </row>
    <row r="25" spans="1:4" x14ac:dyDescent="0.25">
      <c r="A25" t="s">
        <v>198</v>
      </c>
      <c r="C25" s="7">
        <f>SUM(C5:C24)</f>
        <v>73460000</v>
      </c>
    </row>
    <row r="26" spans="1:4" x14ac:dyDescent="0.25">
      <c r="A26" t="s">
        <v>82</v>
      </c>
      <c r="C26" s="3">
        <v>1000000</v>
      </c>
    </row>
    <row r="27" spans="1:4" ht="15.75" thickBot="1" x14ac:dyDescent="0.3">
      <c r="A27" s="34" t="s">
        <v>199</v>
      </c>
      <c r="B27" s="34"/>
      <c r="C27" s="36">
        <f>C25/C26</f>
        <v>73.459999999999994</v>
      </c>
    </row>
    <row r="28" spans="1:4" ht="15.75" thickTop="1" x14ac:dyDescent="0.25"/>
  </sheetData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tabSelected="1" workbookViewId="0">
      <selection activeCell="O22" sqref="O21:O22"/>
    </sheetView>
  </sheetViews>
  <sheetFormatPr defaultRowHeight="15" x14ac:dyDescent="0.25"/>
  <sheetData>
    <row r="2" spans="1:1" x14ac:dyDescent="0.25">
      <c r="A2" t="s">
        <v>177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3"/>
  <sheetViews>
    <sheetView workbookViewId="0">
      <selection activeCell="E21" sqref="E21"/>
    </sheetView>
  </sheetViews>
  <sheetFormatPr defaultRowHeight="15" x14ac:dyDescent="0.25"/>
  <cols>
    <col min="3" max="4" width="10.5703125" bestFit="1" customWidth="1"/>
    <col min="14" max="14" width="9.5703125" bestFit="1" customWidth="1"/>
  </cols>
  <sheetData>
    <row r="2" spans="1:15" x14ac:dyDescent="0.25">
      <c r="A2" s="6" t="s">
        <v>211</v>
      </c>
    </row>
    <row r="4" spans="1:15" x14ac:dyDescent="0.25">
      <c r="A4" s="12" t="s">
        <v>31</v>
      </c>
    </row>
    <row r="6" spans="1:15" x14ac:dyDescent="0.25">
      <c r="A6" t="s">
        <v>32</v>
      </c>
      <c r="B6" t="s">
        <v>33</v>
      </c>
      <c r="D6" s="3">
        <f>1000*24</f>
        <v>24000</v>
      </c>
      <c r="I6" t="s">
        <v>40</v>
      </c>
      <c r="J6" t="s">
        <v>212</v>
      </c>
      <c r="K6" t="s">
        <v>213</v>
      </c>
      <c r="L6" t="s">
        <v>214</v>
      </c>
      <c r="M6" t="s">
        <v>42</v>
      </c>
      <c r="N6" s="3">
        <f>200*24</f>
        <v>4800</v>
      </c>
    </row>
    <row r="7" spans="1:15" x14ac:dyDescent="0.25">
      <c r="A7" t="s">
        <v>34</v>
      </c>
      <c r="B7" t="s">
        <v>35</v>
      </c>
      <c r="C7" s="3">
        <f>400*20</f>
        <v>8000</v>
      </c>
      <c r="K7" t="s">
        <v>215</v>
      </c>
      <c r="L7" t="s">
        <v>30</v>
      </c>
      <c r="M7" t="s">
        <v>41</v>
      </c>
      <c r="N7" s="18">
        <f>300*20</f>
        <v>6000</v>
      </c>
      <c r="O7" t="s">
        <v>216</v>
      </c>
    </row>
    <row r="8" spans="1:15" x14ac:dyDescent="0.25">
      <c r="B8" t="s">
        <v>36</v>
      </c>
      <c r="C8" s="3">
        <f>600*20</f>
        <v>12000</v>
      </c>
      <c r="D8" s="7">
        <f>SUM(C7:C8)</f>
        <v>20000</v>
      </c>
    </row>
    <row r="9" spans="1:15" x14ac:dyDescent="0.25">
      <c r="A9" t="s">
        <v>37</v>
      </c>
      <c r="B9" t="s">
        <v>38</v>
      </c>
      <c r="C9" s="3">
        <f>300*16</f>
        <v>4800</v>
      </c>
    </row>
    <row r="10" spans="1:15" x14ac:dyDescent="0.25">
      <c r="B10" t="s">
        <v>39</v>
      </c>
      <c r="C10" s="3">
        <f>700*10</f>
        <v>7000</v>
      </c>
      <c r="D10" s="7">
        <f>SUM(C9:C10)</f>
        <v>11800</v>
      </c>
    </row>
    <row r="11" spans="1:15" x14ac:dyDescent="0.25">
      <c r="A11" t="s">
        <v>40</v>
      </c>
      <c r="D11" s="7">
        <f>+N7</f>
        <v>6000</v>
      </c>
    </row>
    <row r="12" spans="1:15" ht="15.75" thickBot="1" x14ac:dyDescent="0.3">
      <c r="D12" s="9">
        <f>SUM(D6:D11)</f>
        <v>61800</v>
      </c>
    </row>
    <row r="13" spans="1:15" ht="15.75" thickTop="1" x14ac:dyDescent="0.25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D21" sqref="D21"/>
    </sheetView>
  </sheetViews>
  <sheetFormatPr defaultRowHeight="15" x14ac:dyDescent="0.25"/>
  <cols>
    <col min="1" max="1" width="17.42578125" bestFit="1" customWidth="1"/>
    <col min="3" max="3" width="10.5703125" bestFit="1" customWidth="1"/>
    <col min="4" max="4" width="11.5703125" bestFit="1" customWidth="1"/>
  </cols>
  <sheetData>
    <row r="2" spans="1:5" x14ac:dyDescent="0.25">
      <c r="A2" s="6" t="s">
        <v>217</v>
      </c>
    </row>
    <row r="4" spans="1:5" x14ac:dyDescent="0.25">
      <c r="A4" t="s">
        <v>43</v>
      </c>
      <c r="D4" s="3">
        <v>100000</v>
      </c>
    </row>
    <row r="5" spans="1:5" x14ac:dyDescent="0.25">
      <c r="A5" t="s">
        <v>44</v>
      </c>
    </row>
    <row r="6" spans="1:5" x14ac:dyDescent="0.25">
      <c r="A6" t="s">
        <v>48</v>
      </c>
      <c r="C6" s="3">
        <v>30000</v>
      </c>
    </row>
    <row r="7" spans="1:5" x14ac:dyDescent="0.25">
      <c r="A7" t="s">
        <v>49</v>
      </c>
      <c r="B7" t="s">
        <v>86</v>
      </c>
      <c r="C7" s="3">
        <f>2000*10</f>
        <v>20000</v>
      </c>
    </row>
    <row r="8" spans="1:5" x14ac:dyDescent="0.25">
      <c r="A8" t="s">
        <v>171</v>
      </c>
      <c r="B8" t="s">
        <v>88</v>
      </c>
      <c r="C8" s="3">
        <f>2000*5</f>
        <v>10000</v>
      </c>
    </row>
    <row r="9" spans="1:5" x14ac:dyDescent="0.25">
      <c r="A9" t="s">
        <v>218</v>
      </c>
      <c r="C9" s="3">
        <v>0</v>
      </c>
      <c r="E9" t="s">
        <v>219</v>
      </c>
    </row>
    <row r="10" spans="1:5" x14ac:dyDescent="0.25">
      <c r="A10" t="s">
        <v>220</v>
      </c>
      <c r="B10" t="s">
        <v>87</v>
      </c>
      <c r="C10" s="3">
        <f>2000*12</f>
        <v>24000</v>
      </c>
      <c r="D10" s="7">
        <f>-SUM(C6:C10)</f>
        <v>-84000</v>
      </c>
    </row>
    <row r="11" spans="1:5" ht="15.75" thickBot="1" x14ac:dyDescent="0.3">
      <c r="A11" t="s">
        <v>89</v>
      </c>
      <c r="D11" s="9">
        <f>SUM(D4:D10)</f>
        <v>16000</v>
      </c>
    </row>
    <row r="12" spans="1:5" ht="15.75" thickTop="1" x14ac:dyDescent="0.25"/>
    <row r="13" spans="1:5" x14ac:dyDescent="0.25">
      <c r="A13" t="s">
        <v>221</v>
      </c>
    </row>
  </sheetData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2"/>
  <sheetViews>
    <sheetView workbookViewId="0">
      <selection activeCell="E21" sqref="E21"/>
    </sheetView>
  </sheetViews>
  <sheetFormatPr defaultRowHeight="15" x14ac:dyDescent="0.25"/>
  <cols>
    <col min="1" max="1" width="11.85546875" bestFit="1" customWidth="1"/>
    <col min="2" max="2" width="10.85546875" bestFit="1" customWidth="1"/>
    <col min="6" max="6" width="9.5703125" bestFit="1" customWidth="1"/>
    <col min="7" max="7" width="10" bestFit="1" customWidth="1"/>
  </cols>
  <sheetData>
    <row r="2" spans="1:8" x14ac:dyDescent="0.25">
      <c r="A2" s="6" t="s">
        <v>222</v>
      </c>
    </row>
    <row r="4" spans="1:8" x14ac:dyDescent="0.25">
      <c r="C4" s="24" t="s">
        <v>223</v>
      </c>
      <c r="D4" s="6"/>
      <c r="E4" s="6"/>
      <c r="F4" s="24" t="s">
        <v>52</v>
      </c>
    </row>
    <row r="5" spans="1:8" x14ac:dyDescent="0.25">
      <c r="A5" t="s">
        <v>46</v>
      </c>
      <c r="C5" s="3">
        <v>150</v>
      </c>
      <c r="F5" s="1">
        <f>-F9/G9*G5</f>
        <v>176.52439024390242</v>
      </c>
      <c r="G5" s="3">
        <v>100</v>
      </c>
    </row>
    <row r="6" spans="1:8" x14ac:dyDescent="0.25">
      <c r="A6" t="s">
        <v>174</v>
      </c>
    </row>
    <row r="7" spans="1:8" x14ac:dyDescent="0.25">
      <c r="A7" t="s">
        <v>48</v>
      </c>
      <c r="B7" s="3">
        <v>40</v>
      </c>
      <c r="D7" t="s">
        <v>53</v>
      </c>
      <c r="E7" s="3">
        <f>40*1.1</f>
        <v>44</v>
      </c>
    </row>
    <row r="8" spans="1:8" x14ac:dyDescent="0.25">
      <c r="A8" t="s">
        <v>49</v>
      </c>
      <c r="B8" s="3">
        <v>32</v>
      </c>
      <c r="D8" t="s">
        <v>54</v>
      </c>
      <c r="E8" s="3">
        <f>32*1.25</f>
        <v>40</v>
      </c>
    </row>
    <row r="9" spans="1:8" x14ac:dyDescent="0.25">
      <c r="A9" t="s">
        <v>171</v>
      </c>
      <c r="B9" s="3">
        <v>10</v>
      </c>
      <c r="C9" s="7">
        <f>-SUM(B7:B9)</f>
        <v>-82</v>
      </c>
      <c r="D9" t="s">
        <v>94</v>
      </c>
      <c r="E9" s="3">
        <f>10/32*40</f>
        <v>12.5</v>
      </c>
      <c r="F9" s="7">
        <f>-SUM(E7:E9)</f>
        <v>-96.5</v>
      </c>
      <c r="G9" s="7">
        <f>+G5-G10</f>
        <v>54.666666666666671</v>
      </c>
    </row>
    <row r="10" spans="1:8" ht="15.75" thickBot="1" x14ac:dyDescent="0.3">
      <c r="A10" t="s">
        <v>50</v>
      </c>
      <c r="C10" s="33">
        <f>SUM(C5:C9)</f>
        <v>68</v>
      </c>
      <c r="D10" s="6"/>
      <c r="E10" s="6"/>
      <c r="F10" s="38">
        <f>SUM(F5:F9)</f>
        <v>80.024390243902417</v>
      </c>
      <c r="G10" s="37">
        <f>+F12*100</f>
        <v>45.333333333333329</v>
      </c>
    </row>
    <row r="11" spans="1:8" ht="15.75" thickTop="1" x14ac:dyDescent="0.25"/>
    <row r="12" spans="1:8" x14ac:dyDescent="0.25">
      <c r="A12" t="s">
        <v>56</v>
      </c>
      <c r="B12" t="s">
        <v>51</v>
      </c>
      <c r="C12" s="15">
        <f>C10/C5</f>
        <v>0.45333333333333331</v>
      </c>
      <c r="F12" s="21">
        <f>+C12</f>
        <v>0.45333333333333331</v>
      </c>
      <c r="H12">
        <f>+F10/F5</f>
        <v>0.45333333333333325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1"/>
  <sheetViews>
    <sheetView workbookViewId="0">
      <selection activeCell="E22" sqref="E22"/>
    </sheetView>
  </sheetViews>
  <sheetFormatPr defaultRowHeight="15" x14ac:dyDescent="0.25"/>
  <cols>
    <col min="1" max="1" width="9.7109375" bestFit="1" customWidth="1"/>
    <col min="2" max="2" width="28.7109375" customWidth="1"/>
    <col min="3" max="3" width="13.5703125" customWidth="1"/>
    <col min="4" max="4" width="13.28515625" bestFit="1" customWidth="1"/>
    <col min="7" max="7" width="13.28515625" bestFit="1" customWidth="1"/>
  </cols>
  <sheetData>
    <row r="2" spans="1:7" x14ac:dyDescent="0.25">
      <c r="A2" s="6" t="s">
        <v>224</v>
      </c>
    </row>
    <row r="4" spans="1:7" x14ac:dyDescent="0.25">
      <c r="A4" t="s">
        <v>83</v>
      </c>
      <c r="B4" t="s">
        <v>60</v>
      </c>
      <c r="C4" s="5" t="s">
        <v>12</v>
      </c>
      <c r="D4" t="s">
        <v>225</v>
      </c>
    </row>
    <row r="5" spans="1:7" x14ac:dyDescent="0.25">
      <c r="D5" t="s">
        <v>96</v>
      </c>
    </row>
    <row r="6" spans="1:7" ht="15.75" thickBot="1" x14ac:dyDescent="0.3">
      <c r="D6" s="32">
        <f>40/100</f>
        <v>0.4</v>
      </c>
    </row>
    <row r="7" spans="1:7" ht="15.75" thickTop="1" x14ac:dyDescent="0.25"/>
    <row r="8" spans="1:7" x14ac:dyDescent="0.25">
      <c r="A8" t="s">
        <v>61</v>
      </c>
      <c r="B8" t="s">
        <v>85</v>
      </c>
      <c r="C8" s="5" t="s">
        <v>12</v>
      </c>
      <c r="D8" t="s">
        <v>226</v>
      </c>
    </row>
    <row r="9" spans="1:7" x14ac:dyDescent="0.25">
      <c r="D9" t="s">
        <v>227</v>
      </c>
    </row>
    <row r="10" spans="1:7" ht="15.75" thickBot="1" x14ac:dyDescent="0.3">
      <c r="D10" s="31">
        <f>600000/40</f>
        <v>15000</v>
      </c>
    </row>
    <row r="11" spans="1:7" ht="15.75" thickTop="1" x14ac:dyDescent="0.25"/>
    <row r="12" spans="1:7" x14ac:dyDescent="0.25">
      <c r="A12" t="s">
        <v>78</v>
      </c>
      <c r="B12" t="s">
        <v>228</v>
      </c>
      <c r="C12" s="5" t="s">
        <v>12</v>
      </c>
      <c r="D12" t="s">
        <v>230</v>
      </c>
      <c r="F12" t="s">
        <v>231</v>
      </c>
      <c r="G12" s="11" t="s">
        <v>232</v>
      </c>
    </row>
    <row r="13" spans="1:7" x14ac:dyDescent="0.25">
      <c r="D13" s="11" t="s">
        <v>229</v>
      </c>
      <c r="G13" s="11" t="s">
        <v>98</v>
      </c>
    </row>
    <row r="14" spans="1:7" ht="15.75" thickBot="1" x14ac:dyDescent="0.3">
      <c r="D14" s="31">
        <f>600000/0.4</f>
        <v>1500000</v>
      </c>
      <c r="G14" s="39">
        <f>15000*100</f>
        <v>1500000</v>
      </c>
    </row>
    <row r="15" spans="1:7" ht="15.75" thickTop="1" x14ac:dyDescent="0.25"/>
    <row r="16" spans="1:7" x14ac:dyDescent="0.25">
      <c r="A16" t="s">
        <v>99</v>
      </c>
      <c r="B16" t="s">
        <v>233</v>
      </c>
      <c r="C16" s="5" t="s">
        <v>12</v>
      </c>
      <c r="D16" t="s">
        <v>234</v>
      </c>
    </row>
    <row r="17" spans="1:8" x14ac:dyDescent="0.25">
      <c r="D17" t="s">
        <v>235</v>
      </c>
    </row>
    <row r="18" spans="1:8" ht="15.75" thickBot="1" x14ac:dyDescent="0.3">
      <c r="D18" s="31">
        <f>800000/40</f>
        <v>20000</v>
      </c>
    </row>
    <row r="19" spans="1:8" ht="15.75" thickTop="1" x14ac:dyDescent="0.25"/>
    <row r="20" spans="1:8" x14ac:dyDescent="0.25">
      <c r="B20" t="s">
        <v>236</v>
      </c>
      <c r="C20" s="5" t="s">
        <v>12</v>
      </c>
      <c r="D20" t="s">
        <v>237</v>
      </c>
      <c r="F20" t="s">
        <v>231</v>
      </c>
      <c r="G20" s="2" t="s">
        <v>239</v>
      </c>
    </row>
    <row r="21" spans="1:8" x14ac:dyDescent="0.25">
      <c r="D21" t="s">
        <v>238</v>
      </c>
      <c r="G21" s="11" t="s">
        <v>240</v>
      </c>
    </row>
    <row r="22" spans="1:8" ht="15.75" thickBot="1" x14ac:dyDescent="0.3">
      <c r="D22" s="31">
        <f>800000/0.4</f>
        <v>2000000</v>
      </c>
      <c r="G22" s="39">
        <f>20000*100</f>
        <v>2000000</v>
      </c>
    </row>
    <row r="23" spans="1:8" ht="15.75" thickTop="1" x14ac:dyDescent="0.25"/>
    <row r="24" spans="1:8" x14ac:dyDescent="0.25">
      <c r="A24" t="s">
        <v>102</v>
      </c>
      <c r="B24" t="s">
        <v>241</v>
      </c>
      <c r="C24" t="s">
        <v>57</v>
      </c>
      <c r="D24" s="3">
        <f>30000*40</f>
        <v>1200000</v>
      </c>
    </row>
    <row r="25" spans="1:8" x14ac:dyDescent="0.25">
      <c r="B25" t="s">
        <v>58</v>
      </c>
      <c r="D25" s="3">
        <v>-600000</v>
      </c>
    </row>
    <row r="26" spans="1:8" x14ac:dyDescent="0.25">
      <c r="B26" t="s">
        <v>103</v>
      </c>
      <c r="D26" s="7">
        <f>SUM(D24:D25)</f>
        <v>600000</v>
      </c>
    </row>
    <row r="27" spans="1:8" x14ac:dyDescent="0.25">
      <c r="B27" t="s">
        <v>113</v>
      </c>
      <c r="D27" s="3">
        <v>700000</v>
      </c>
    </row>
    <row r="28" spans="1:8" x14ac:dyDescent="0.25">
      <c r="B28" t="s">
        <v>242</v>
      </c>
      <c r="D28" s="7">
        <f>SUM(D26:D27)</f>
        <v>1300000</v>
      </c>
    </row>
    <row r="29" spans="1:8" x14ac:dyDescent="0.25">
      <c r="B29" t="s">
        <v>243</v>
      </c>
      <c r="C29" t="s">
        <v>244</v>
      </c>
      <c r="D29" s="3">
        <v>25</v>
      </c>
      <c r="H29">
        <f>60*1.25</f>
        <v>75</v>
      </c>
    </row>
    <row r="30" spans="1:8" ht="15.75" thickBot="1" x14ac:dyDescent="0.3">
      <c r="B30" s="6" t="s">
        <v>245</v>
      </c>
      <c r="C30" s="6"/>
      <c r="D30" s="41">
        <f>+D28/D29</f>
        <v>52000</v>
      </c>
    </row>
    <row r="31" spans="1:8" ht="15.75" thickTop="1" x14ac:dyDescent="0.25"/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workbookViewId="0">
      <selection activeCell="G22" sqref="G22"/>
    </sheetView>
  </sheetViews>
  <sheetFormatPr defaultRowHeight="15" x14ac:dyDescent="0.25"/>
  <cols>
    <col min="1" max="1" width="24.85546875" customWidth="1"/>
    <col min="2" max="2" width="10.85546875" customWidth="1"/>
    <col min="3" max="3" width="13.28515625" bestFit="1" customWidth="1"/>
    <col min="4" max="4" width="10.28515625" customWidth="1"/>
    <col min="6" max="6" width="10.28515625" bestFit="1" customWidth="1"/>
  </cols>
  <sheetData>
    <row r="2" spans="1:10" x14ac:dyDescent="0.25">
      <c r="A2" s="6" t="s">
        <v>104</v>
      </c>
    </row>
    <row r="5" spans="1:10" x14ac:dyDescent="0.25">
      <c r="A5" t="s">
        <v>83</v>
      </c>
    </row>
    <row r="6" spans="1:10" x14ac:dyDescent="0.25">
      <c r="C6" s="11" t="s">
        <v>92</v>
      </c>
      <c r="D6" s="11"/>
      <c r="F6" s="11" t="s">
        <v>52</v>
      </c>
      <c r="H6" t="s">
        <v>95</v>
      </c>
      <c r="J6" t="s">
        <v>108</v>
      </c>
    </row>
    <row r="7" spans="1:10" x14ac:dyDescent="0.25">
      <c r="A7" t="s">
        <v>46</v>
      </c>
      <c r="C7" s="3">
        <v>1500</v>
      </c>
      <c r="D7" s="3"/>
      <c r="E7" s="11"/>
      <c r="F7" s="19">
        <f>-F11/H11</f>
        <v>1777.4999999999998</v>
      </c>
      <c r="H7" s="15">
        <v>1</v>
      </c>
      <c r="J7" s="23" t="s">
        <v>109</v>
      </c>
    </row>
    <row r="8" spans="1:10" x14ac:dyDescent="0.25">
      <c r="A8" s="6" t="s">
        <v>47</v>
      </c>
      <c r="C8" s="3"/>
      <c r="D8" s="3"/>
      <c r="H8" s="15"/>
    </row>
    <row r="9" spans="1:10" x14ac:dyDescent="0.25">
      <c r="A9" t="s">
        <v>48</v>
      </c>
      <c r="B9" s="3">
        <v>500</v>
      </c>
      <c r="C9" s="3"/>
      <c r="D9" s="3" t="s">
        <v>106</v>
      </c>
      <c r="E9" s="3">
        <f>500*1.25</f>
        <v>625</v>
      </c>
      <c r="H9" s="15"/>
    </row>
    <row r="10" spans="1:10" x14ac:dyDescent="0.25">
      <c r="A10" t="s">
        <v>49</v>
      </c>
      <c r="B10" s="3">
        <v>300</v>
      </c>
      <c r="C10" s="3"/>
      <c r="D10" s="3" t="s">
        <v>107</v>
      </c>
      <c r="E10" s="3">
        <f>300*1.2</f>
        <v>360</v>
      </c>
      <c r="H10" s="15"/>
    </row>
    <row r="11" spans="1:10" x14ac:dyDescent="0.25">
      <c r="A11" t="s">
        <v>45</v>
      </c>
      <c r="B11" s="13">
        <v>200</v>
      </c>
      <c r="C11" s="3">
        <f>-SUM(B9:B11)</f>
        <v>-1000</v>
      </c>
      <c r="D11" s="3"/>
      <c r="E11" s="3">
        <v>200</v>
      </c>
      <c r="F11" s="7">
        <f>-SUM(E9:E11)</f>
        <v>-1185</v>
      </c>
      <c r="H11" s="15">
        <f>H7-H13</f>
        <v>0.66666666666666674</v>
      </c>
    </row>
    <row r="12" spans="1:10" ht="15.75" thickBot="1" x14ac:dyDescent="0.3">
      <c r="A12" t="s">
        <v>93</v>
      </c>
      <c r="C12" s="16">
        <f>SUM(C7:C11)</f>
        <v>500</v>
      </c>
      <c r="D12" s="22"/>
      <c r="E12" s="3"/>
      <c r="F12" s="16">
        <f>SUM(F7:F11)</f>
        <v>592.49999999999977</v>
      </c>
      <c r="H12" s="15"/>
    </row>
    <row r="13" spans="1:10" ht="15.75" thickTop="1" x14ac:dyDescent="0.25">
      <c r="A13" t="s">
        <v>56</v>
      </c>
      <c r="B13" t="s">
        <v>105</v>
      </c>
      <c r="C13" s="15">
        <f>+C12/C7</f>
        <v>0.33333333333333331</v>
      </c>
      <c r="D13" s="15"/>
      <c r="E13" s="3"/>
      <c r="F13" s="21">
        <f>+C13</f>
        <v>0.33333333333333331</v>
      </c>
      <c r="H13" s="15">
        <f>+C13</f>
        <v>0.33333333333333331</v>
      </c>
    </row>
    <row r="14" spans="1:10" x14ac:dyDescent="0.25">
      <c r="F14" s="15">
        <f>+F12/F7</f>
        <v>0.33333333333333326</v>
      </c>
      <c r="H14" s="14"/>
    </row>
    <row r="16" spans="1:10" x14ac:dyDescent="0.25">
      <c r="A16" t="s">
        <v>61</v>
      </c>
    </row>
    <row r="17" spans="1:4" x14ac:dyDescent="0.25">
      <c r="A17" s="6" t="s">
        <v>110</v>
      </c>
    </row>
    <row r="18" spans="1:4" x14ac:dyDescent="0.25">
      <c r="A18" t="s">
        <v>77</v>
      </c>
      <c r="B18" t="s">
        <v>111</v>
      </c>
      <c r="C18" s="3">
        <f>2000*500</f>
        <v>1000000</v>
      </c>
    </row>
    <row r="19" spans="1:4" x14ac:dyDescent="0.25">
      <c r="A19" t="s">
        <v>58</v>
      </c>
      <c r="C19" s="3">
        <v>-600000</v>
      </c>
    </row>
    <row r="20" spans="1:4" ht="15.75" thickBot="1" x14ac:dyDescent="0.3">
      <c r="A20" t="s">
        <v>112</v>
      </c>
      <c r="C20" s="9">
        <f>SUM(C18:C19)</f>
        <v>400000</v>
      </c>
    </row>
    <row r="21" spans="1:4" ht="15.75" thickTop="1" x14ac:dyDescent="0.25"/>
    <row r="22" spans="1:4" x14ac:dyDescent="0.25">
      <c r="A22" t="s">
        <v>113</v>
      </c>
      <c r="B22" t="s">
        <v>114</v>
      </c>
      <c r="C22" s="3">
        <v>702500</v>
      </c>
    </row>
    <row r="24" spans="1:4" x14ac:dyDescent="0.25">
      <c r="A24" t="s">
        <v>100</v>
      </c>
      <c r="B24" s="5" t="s">
        <v>12</v>
      </c>
      <c r="C24" t="s">
        <v>101</v>
      </c>
    </row>
    <row r="25" spans="1:4" x14ac:dyDescent="0.25">
      <c r="C25" t="s">
        <v>115</v>
      </c>
    </row>
    <row r="26" spans="1:4" x14ac:dyDescent="0.25">
      <c r="C26" t="s">
        <v>116</v>
      </c>
    </row>
    <row r="27" spans="1:4" ht="17.25" x14ac:dyDescent="0.4">
      <c r="C27" s="17">
        <f>1102500/315</f>
        <v>3500</v>
      </c>
    </row>
    <row r="28" spans="1:4" x14ac:dyDescent="0.25">
      <c r="A28" t="s">
        <v>117</v>
      </c>
      <c r="B28" s="5" t="s">
        <v>12</v>
      </c>
      <c r="C28" t="s">
        <v>118</v>
      </c>
    </row>
    <row r="29" spans="1:4" ht="17.25" x14ac:dyDescent="0.4">
      <c r="C29" s="17">
        <v>1500</v>
      </c>
      <c r="D29" t="s">
        <v>119</v>
      </c>
    </row>
    <row r="32" spans="1:4" x14ac:dyDescent="0.25">
      <c r="A32" t="s">
        <v>78</v>
      </c>
    </row>
    <row r="33" spans="1:3" x14ac:dyDescent="0.25">
      <c r="A33" t="s">
        <v>77</v>
      </c>
      <c r="B33" t="s">
        <v>120</v>
      </c>
      <c r="C33" s="3">
        <f>592.5*2000</f>
        <v>1185000</v>
      </c>
    </row>
    <row r="34" spans="1:3" x14ac:dyDescent="0.25">
      <c r="A34" t="s">
        <v>58</v>
      </c>
      <c r="C34" s="3">
        <v>-700000</v>
      </c>
    </row>
    <row r="35" spans="1:3" ht="15.75" thickBot="1" x14ac:dyDescent="0.3">
      <c r="A35" t="s">
        <v>59</v>
      </c>
      <c r="C35" s="9">
        <f>SUM(C33:C34)</f>
        <v>485000</v>
      </c>
    </row>
    <row r="36" spans="1:3" ht="15.75" thickTop="1" x14ac:dyDescent="0.25"/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workbookViewId="0">
      <selection activeCell="I22" sqref="I22"/>
    </sheetView>
  </sheetViews>
  <sheetFormatPr defaultRowHeight="15" x14ac:dyDescent="0.25"/>
  <cols>
    <col min="1" max="1" width="18.140625" customWidth="1"/>
    <col min="2" max="2" width="18.5703125" customWidth="1"/>
    <col min="3" max="3" width="14.28515625" bestFit="1" customWidth="1"/>
    <col min="4" max="4" width="11.5703125" bestFit="1" customWidth="1"/>
  </cols>
  <sheetData>
    <row r="2" spans="1:9" x14ac:dyDescent="0.25">
      <c r="A2" s="6" t="s">
        <v>121</v>
      </c>
    </row>
    <row r="4" spans="1:9" ht="17.25" x14ac:dyDescent="0.4">
      <c r="A4" t="s">
        <v>246</v>
      </c>
      <c r="B4" s="20">
        <v>1000</v>
      </c>
      <c r="C4" s="20">
        <v>1001</v>
      </c>
      <c r="D4" s="20">
        <v>1100</v>
      </c>
    </row>
    <row r="5" spans="1:9" x14ac:dyDescent="0.25">
      <c r="A5" t="s">
        <v>122</v>
      </c>
      <c r="B5" s="3">
        <f>1000*100</f>
        <v>100000</v>
      </c>
      <c r="C5" s="3">
        <f>1001*100</f>
        <v>100100</v>
      </c>
      <c r="D5" s="3">
        <f>+D4*100</f>
        <v>110000</v>
      </c>
      <c r="E5" s="3"/>
      <c r="F5" s="3"/>
      <c r="G5" s="3"/>
      <c r="H5" s="3"/>
      <c r="I5" s="3"/>
    </row>
    <row r="6" spans="1:9" x14ac:dyDescent="0.25">
      <c r="A6" t="s">
        <v>247</v>
      </c>
      <c r="B6" s="3">
        <f>-B4*60</f>
        <v>-60000</v>
      </c>
      <c r="C6" s="3">
        <f>-C4*60</f>
        <v>-60060</v>
      </c>
      <c r="D6" s="3">
        <f>-D4*60</f>
        <v>-66000</v>
      </c>
      <c r="E6" s="3"/>
      <c r="F6" s="3"/>
      <c r="G6" s="3"/>
      <c r="H6" s="3"/>
      <c r="I6" s="3"/>
    </row>
    <row r="7" spans="1:9" x14ac:dyDescent="0.25">
      <c r="A7" t="s">
        <v>50</v>
      </c>
      <c r="B7" s="7">
        <f>SUM(B5:B6)</f>
        <v>40000</v>
      </c>
      <c r="C7" s="7">
        <f>SUM(C5:C6)</f>
        <v>40040</v>
      </c>
      <c r="D7" s="3">
        <f>SUM(D5:D6)</f>
        <v>44000</v>
      </c>
      <c r="E7" s="3"/>
      <c r="F7" s="3"/>
      <c r="G7" s="3"/>
      <c r="H7" s="3"/>
      <c r="I7" s="3"/>
    </row>
    <row r="8" spans="1:9" x14ac:dyDescent="0.25">
      <c r="A8" t="s">
        <v>58</v>
      </c>
      <c r="B8" s="3">
        <v>-40000</v>
      </c>
      <c r="C8" s="3">
        <v>-40000</v>
      </c>
      <c r="D8" s="3">
        <v>-40000</v>
      </c>
      <c r="E8" s="3"/>
      <c r="F8" s="3"/>
      <c r="G8" s="3"/>
      <c r="H8" s="3"/>
      <c r="I8" s="3"/>
    </row>
    <row r="9" spans="1:9" x14ac:dyDescent="0.25">
      <c r="A9" t="s">
        <v>59</v>
      </c>
      <c r="B9" s="7">
        <f>SUM(B7:B8)</f>
        <v>0</v>
      </c>
      <c r="C9" s="7">
        <f>SUM(C7:C8)</f>
        <v>40</v>
      </c>
      <c r="D9" s="7">
        <f>SUM(D7:D8)</f>
        <v>4000</v>
      </c>
    </row>
    <row r="11" spans="1:9" x14ac:dyDescent="0.25">
      <c r="A11" t="s">
        <v>56</v>
      </c>
      <c r="B11" s="14">
        <f>+B7/B5</f>
        <v>0.4</v>
      </c>
      <c r="C11" s="14">
        <f>+C7/C5</f>
        <v>0.4</v>
      </c>
      <c r="D11" s="14">
        <f>+D7/D5</f>
        <v>0.4</v>
      </c>
    </row>
    <row r="12" spans="1:9" x14ac:dyDescent="0.25">
      <c r="C12" s="14">
        <f>(C9-B9)/(C5-B5)</f>
        <v>0.4</v>
      </c>
      <c r="D12" s="14">
        <f>(D9-B9)/(D5-B5)</f>
        <v>0.4</v>
      </c>
    </row>
    <row r="13" spans="1:9" x14ac:dyDescent="0.25">
      <c r="A13" t="s">
        <v>248</v>
      </c>
    </row>
    <row r="14" spans="1:9" x14ac:dyDescent="0.25">
      <c r="A14" t="s">
        <v>249</v>
      </c>
    </row>
    <row r="17" spans="1:3" x14ac:dyDescent="0.25">
      <c r="A17" t="s">
        <v>250</v>
      </c>
      <c r="B17" t="s">
        <v>251</v>
      </c>
      <c r="C17" s="3">
        <v>2500000</v>
      </c>
    </row>
    <row r="18" spans="1:3" x14ac:dyDescent="0.25">
      <c r="A18" t="s">
        <v>252</v>
      </c>
      <c r="B18" t="s">
        <v>253</v>
      </c>
      <c r="C18" s="3">
        <v>500000</v>
      </c>
    </row>
    <row r="19" spans="1:3" x14ac:dyDescent="0.25">
      <c r="A19" t="s">
        <v>56</v>
      </c>
      <c r="C19" s="14">
        <f>+C18/C17</f>
        <v>0.2</v>
      </c>
    </row>
    <row r="21" spans="1:3" x14ac:dyDescent="0.25">
      <c r="A21" t="s">
        <v>43</v>
      </c>
      <c r="C21" s="3">
        <v>7500000</v>
      </c>
    </row>
    <row r="22" spans="1:3" x14ac:dyDescent="0.25">
      <c r="A22" t="s">
        <v>27</v>
      </c>
      <c r="B22" t="s">
        <v>254</v>
      </c>
      <c r="C22" s="3">
        <f>-C21*0.8</f>
        <v>-6000000</v>
      </c>
    </row>
    <row r="23" spans="1:3" x14ac:dyDescent="0.25">
      <c r="A23" t="s">
        <v>50</v>
      </c>
      <c r="C23" s="7">
        <f>SUM(C21:C22)</f>
        <v>1500000</v>
      </c>
    </row>
    <row r="24" spans="1:3" x14ac:dyDescent="0.25">
      <c r="A24" t="s">
        <v>58</v>
      </c>
      <c r="C24" s="19">
        <v>-500000</v>
      </c>
    </row>
    <row r="25" spans="1:3" ht="15.75" thickBot="1" x14ac:dyDescent="0.3">
      <c r="A25" t="s">
        <v>59</v>
      </c>
      <c r="C25" s="16">
        <v>1000000</v>
      </c>
    </row>
    <row r="26" spans="1:3" ht="15.75" thickTop="1" x14ac:dyDescent="0.25"/>
    <row r="27" spans="1:3" x14ac:dyDescent="0.25">
      <c r="A27" t="s">
        <v>83</v>
      </c>
      <c r="B27" t="s">
        <v>255</v>
      </c>
      <c r="C27" t="s">
        <v>97</v>
      </c>
    </row>
    <row r="28" spans="1:3" x14ac:dyDescent="0.25">
      <c r="C28" t="s">
        <v>256</v>
      </c>
    </row>
    <row r="29" spans="1:3" ht="15.75" thickBot="1" x14ac:dyDescent="0.3">
      <c r="C29" s="31">
        <f>500000/0.2</f>
        <v>2500000</v>
      </c>
    </row>
    <row r="30" spans="1:3" ht="15.75" thickTop="1" x14ac:dyDescent="0.25"/>
    <row r="31" spans="1:3" x14ac:dyDescent="0.25">
      <c r="A31" t="s">
        <v>61</v>
      </c>
      <c r="B31" t="s">
        <v>257</v>
      </c>
      <c r="C31" t="s">
        <v>258</v>
      </c>
    </row>
    <row r="32" spans="1:3" x14ac:dyDescent="0.25">
      <c r="C32" t="s">
        <v>259</v>
      </c>
    </row>
    <row r="33" spans="1:3" ht="15.75" thickBot="1" x14ac:dyDescent="0.3">
      <c r="C33" s="31">
        <f>2000000/0.2</f>
        <v>10000000</v>
      </c>
    </row>
    <row r="34" spans="1:3" ht="15.75" thickTop="1" x14ac:dyDescent="0.25"/>
    <row r="35" spans="1:3" x14ac:dyDescent="0.25">
      <c r="A35" t="s">
        <v>78</v>
      </c>
      <c r="B35" t="s">
        <v>43</v>
      </c>
      <c r="C35" s="3">
        <v>6000000</v>
      </c>
    </row>
    <row r="36" spans="1:3" x14ac:dyDescent="0.25">
      <c r="B36" t="s">
        <v>260</v>
      </c>
      <c r="C36" s="3">
        <f>-C35*0.8</f>
        <v>-4800000</v>
      </c>
    </row>
    <row r="37" spans="1:3" x14ac:dyDescent="0.25">
      <c r="B37" t="s">
        <v>50</v>
      </c>
      <c r="C37" s="7">
        <f>SUM(C35:C36)</f>
        <v>1200000</v>
      </c>
    </row>
    <row r="38" spans="1:3" x14ac:dyDescent="0.25">
      <c r="B38" t="s">
        <v>58</v>
      </c>
      <c r="C38" s="7">
        <f>+C24</f>
        <v>-500000</v>
      </c>
    </row>
    <row r="39" spans="1:3" ht="15.75" thickBot="1" x14ac:dyDescent="0.3">
      <c r="B39" t="s">
        <v>59</v>
      </c>
      <c r="C39" s="9">
        <f>SUM(C37:C38)</f>
        <v>700000</v>
      </c>
    </row>
    <row r="40" spans="1:3" ht="15.75" thickTop="1" x14ac:dyDescent="0.25"/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705111C6CE9A4D9A32EDD3CE4225B6" ma:contentTypeVersion="2" ma:contentTypeDescription="Create a new document." ma:contentTypeScope="" ma:versionID="65a55d3207c9bb9e6d7f68b455286c2a">
  <xsd:schema xmlns:xsd="http://www.w3.org/2001/XMLSchema" xmlns:xs="http://www.w3.org/2001/XMLSchema" xmlns:p="http://schemas.microsoft.com/office/2006/metadata/properties" xmlns:ns2="894abf72-65ba-408b-9569-bc5346983487" targetNamespace="http://schemas.microsoft.com/office/2006/metadata/properties" ma:root="true" ma:fieldsID="82607859529cf660e07889a740458c09" ns2:_="">
    <xsd:import namespace="894abf72-65ba-408b-9569-bc53469834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4abf72-65ba-408b-9569-bc534698348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630DC3C-ECFA-4114-8EAB-22BA1BEF49C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010E7D-03DD-4095-BB10-77A02AA88A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4abf72-65ba-408b-9569-bc53469834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F059A9-3B97-4D25-8CD1-504E77FB5CC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Sheet1</vt:lpstr>
      <vt:lpstr>E1</vt:lpstr>
      <vt:lpstr>E2</vt:lpstr>
      <vt:lpstr>E3</vt:lpstr>
      <vt:lpstr>E4</vt:lpstr>
      <vt:lpstr>E5</vt:lpstr>
      <vt:lpstr>E6</vt:lpstr>
      <vt:lpstr>E7</vt:lpstr>
      <vt:lpstr>E8</vt:lpstr>
      <vt:lpstr>E10</vt:lpstr>
      <vt:lpstr>E11</vt:lpstr>
      <vt:lpstr>E12</vt:lpstr>
      <vt:lpstr>E13</vt:lpstr>
      <vt:lpstr>E14</vt:lpstr>
      <vt:lpstr>E15</vt:lpstr>
      <vt:lpstr>E16</vt:lpstr>
      <vt:lpstr>E17</vt:lpstr>
      <vt:lpstr>E18</vt:lpstr>
      <vt:lpstr>E19 A</vt:lpstr>
      <vt:lpstr>E19 B</vt:lpstr>
      <vt:lpstr>E20</vt:lpstr>
      <vt:lpstr>E21</vt:lpstr>
      <vt:lpstr>E22</vt:lpstr>
      <vt:lpstr>E23</vt:lpstr>
      <vt:lpstr>E24</vt:lpstr>
      <vt:lpstr>E25</vt:lpstr>
      <vt:lpstr>E26</vt:lpstr>
      <vt:lpstr>E27</vt:lpstr>
      <vt:lpstr>E28</vt:lpstr>
      <vt:lpstr>Q1</vt:lpstr>
      <vt:lpstr>Q2</vt:lpstr>
      <vt:lpstr>Q3</vt:lpstr>
      <vt:lpstr>Q4</vt:lpstr>
      <vt:lpstr>Q5</vt:lpstr>
      <vt:lpstr>Q6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Sunanda Abeykoon</dc:creator>
  <cp:lastModifiedBy>Amali</cp:lastModifiedBy>
  <dcterms:created xsi:type="dcterms:W3CDTF">2021-10-17T11:14:09Z</dcterms:created>
  <dcterms:modified xsi:type="dcterms:W3CDTF">2022-11-16T10:59:12Z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0x01010087705111C6CE9A4D9A32EDD3CE4225B6</vt:lpwstr>
  </property>
</Properties>
</file>