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40"/>
  </bookViews>
  <sheets>
    <sheet name="Sheet1" sheetId="1" r:id="rId1"/>
    <sheet name="E1" sheetId="2" r:id="rId2"/>
    <sheet name="E2" sheetId="3" r:id="rId3"/>
    <sheet name="E5" sheetId="4" r:id="rId4"/>
    <sheet name="E6" sheetId="5" r:id="rId5"/>
    <sheet name="E7" sheetId="6" r:id="rId6"/>
    <sheet name="E8" sheetId="7" r:id="rId7"/>
    <sheet name="Q2" sheetId="10" r:id="rId8"/>
    <sheet name="Q4" sheetId="8" r:id="rId9"/>
    <sheet name="Q5" sheetId="9" r:id="rId10"/>
  </sheets>
  <calcPr calcId="152511"/>
</workbook>
</file>

<file path=xl/calcChain.xml><?xml version="1.0" encoding="utf-8"?>
<calcChain xmlns="http://schemas.openxmlformats.org/spreadsheetml/2006/main">
  <c r="H7" i="10" l="1"/>
  <c r="B34" i="10" s="1"/>
  <c r="B36" i="10" s="1"/>
  <c r="B38" i="10" s="1"/>
  <c r="B37" i="10"/>
  <c r="C28" i="10"/>
  <c r="B28" i="10"/>
  <c r="C26" i="10"/>
  <c r="C27" i="10" s="1"/>
  <c r="C29" i="10" s="1"/>
  <c r="B26" i="10"/>
  <c r="B27" i="10" s="1"/>
  <c r="B29" i="10" s="1"/>
  <c r="C25" i="10"/>
  <c r="B25" i="10"/>
  <c r="C20" i="10"/>
  <c r="B20" i="10"/>
  <c r="C18" i="10"/>
  <c r="B18" i="10"/>
  <c r="C16" i="10"/>
  <c r="B16" i="10"/>
  <c r="K33" i="9"/>
  <c r="J31" i="9"/>
  <c r="J30" i="9"/>
  <c r="K30" i="9" s="1"/>
  <c r="I31" i="9"/>
  <c r="I30" i="9"/>
  <c r="K25" i="9"/>
  <c r="B49" i="9"/>
  <c r="D49" i="9" s="1"/>
  <c r="B48" i="9"/>
  <c r="D48" i="9" s="1"/>
  <c r="G8" i="9"/>
  <c r="G7" i="9"/>
  <c r="F8" i="9"/>
  <c r="F7" i="9"/>
  <c r="K23" i="9"/>
  <c r="J23" i="9"/>
  <c r="J22" i="9"/>
  <c r="I23" i="9"/>
  <c r="I22" i="9"/>
  <c r="K22" i="9" s="1"/>
  <c r="K24" i="9" s="1"/>
  <c r="K8" i="9"/>
  <c r="K7" i="9"/>
  <c r="K6" i="9"/>
  <c r="J7" i="9"/>
  <c r="J6" i="9"/>
  <c r="I7" i="9"/>
  <c r="I6" i="9"/>
  <c r="D35" i="9"/>
  <c r="D33" i="9"/>
  <c r="D34" i="9" s="1"/>
  <c r="B34" i="9" s="1"/>
  <c r="D42" i="9"/>
  <c r="D40" i="9"/>
  <c r="D39" i="9"/>
  <c r="D41" i="9" s="1"/>
  <c r="J39" i="9"/>
  <c r="J38" i="9"/>
  <c r="J40" i="9" s="1"/>
  <c r="E26" i="9"/>
  <c r="C26" i="9"/>
  <c r="E24" i="9"/>
  <c r="C24" i="9"/>
  <c r="D18" i="9"/>
  <c r="C16" i="9"/>
  <c r="D16" i="9" s="1"/>
  <c r="D17" i="9" s="1"/>
  <c r="B17" i="9" s="1"/>
  <c r="E9" i="9"/>
  <c r="E11" i="9" s="1"/>
  <c r="C9" i="9"/>
  <c r="C11" i="9" s="1"/>
  <c r="L46" i="8"/>
  <c r="N46" i="8" s="1"/>
  <c r="L47" i="8"/>
  <c r="N45" i="8"/>
  <c r="N47" i="8"/>
  <c r="I41" i="8"/>
  <c r="J41" i="8" s="1"/>
  <c r="I40" i="8"/>
  <c r="J40" i="8" s="1"/>
  <c r="I39" i="8"/>
  <c r="J39" i="8" s="1"/>
  <c r="J27" i="8"/>
  <c r="J25" i="8"/>
  <c r="J23" i="8"/>
  <c r="J24" i="8"/>
  <c r="J22" i="8"/>
  <c r="I24" i="8"/>
  <c r="I23" i="8"/>
  <c r="I22" i="8"/>
  <c r="H24" i="8"/>
  <c r="H23" i="8"/>
  <c r="H22" i="8"/>
  <c r="C45" i="8"/>
  <c r="D45" i="8"/>
  <c r="B45" i="8"/>
  <c r="D44" i="8"/>
  <c r="C44" i="8"/>
  <c r="B44" i="8"/>
  <c r="B55" i="8"/>
  <c r="B53" i="8"/>
  <c r="B52" i="8"/>
  <c r="F56" i="8"/>
  <c r="H56" i="8" s="1"/>
  <c r="H59" i="8" s="1"/>
  <c r="H58" i="8"/>
  <c r="H57" i="8"/>
  <c r="H54" i="8"/>
  <c r="H52" i="8"/>
  <c r="H53" i="8"/>
  <c r="H51" i="8"/>
  <c r="C43" i="8"/>
  <c r="D43" i="8"/>
  <c r="B43" i="8"/>
  <c r="C41" i="8"/>
  <c r="D41" i="8"/>
  <c r="B41" i="8"/>
  <c r="B34" i="8"/>
  <c r="E34" i="8"/>
  <c r="D33" i="8"/>
  <c r="E33" i="8"/>
  <c r="D32" i="8"/>
  <c r="C27" i="8"/>
  <c r="D27" i="8"/>
  <c r="B27" i="8"/>
  <c r="C25" i="8"/>
  <c r="D25" i="8"/>
  <c r="B25" i="8"/>
  <c r="E16" i="8"/>
  <c r="D17" i="8"/>
  <c r="D18" i="8"/>
  <c r="D16" i="8"/>
  <c r="C17" i="8"/>
  <c r="C18" i="8"/>
  <c r="C16" i="8"/>
  <c r="B17" i="8"/>
  <c r="B18" i="8"/>
  <c r="B16" i="8"/>
  <c r="E12" i="8"/>
  <c r="E13" i="8"/>
  <c r="E11" i="8"/>
  <c r="D12" i="8"/>
  <c r="D13" i="8"/>
  <c r="D11" i="8"/>
  <c r="C12" i="8"/>
  <c r="C13" i="8"/>
  <c r="C11" i="8"/>
  <c r="B12" i="8"/>
  <c r="B13" i="8"/>
  <c r="B11" i="8"/>
  <c r="G7" i="8"/>
  <c r="G8" i="8"/>
  <c r="G6" i="8"/>
  <c r="E7" i="8"/>
  <c r="E8" i="8"/>
  <c r="E6" i="8"/>
  <c r="B90" i="7"/>
  <c r="B88" i="7"/>
  <c r="B87" i="7"/>
  <c r="D84" i="7"/>
  <c r="D82" i="7"/>
  <c r="D81" i="7"/>
  <c r="D80" i="7"/>
  <c r="D79" i="7"/>
  <c r="C75" i="7"/>
  <c r="C73" i="7"/>
  <c r="C72" i="7"/>
  <c r="C71" i="7"/>
  <c r="C70" i="7"/>
  <c r="B30" i="10" l="1"/>
  <c r="B31" i="10" s="1"/>
  <c r="C30" i="10"/>
  <c r="C31" i="10" s="1"/>
  <c r="K31" i="9"/>
  <c r="K32" i="9" s="1"/>
  <c r="K34" i="9" s="1"/>
  <c r="D50" i="9"/>
  <c r="D43" i="9"/>
  <c r="K26" i="9"/>
  <c r="N48" i="8"/>
  <c r="J43" i="8" s="1"/>
  <c r="J42" i="8"/>
  <c r="E18" i="8"/>
  <c r="E17" i="8"/>
  <c r="D83" i="7"/>
  <c r="D85" i="7" s="1"/>
  <c r="D73" i="7"/>
  <c r="E27" i="9" l="1"/>
  <c r="E28" i="9" s="1"/>
  <c r="C27" i="9"/>
  <c r="C28" i="9" s="1"/>
  <c r="J44" i="8"/>
  <c r="B57" i="7"/>
  <c r="B55" i="7"/>
  <c r="B54" i="7"/>
  <c r="K64" i="7"/>
  <c r="K62" i="7"/>
  <c r="K61" i="7"/>
  <c r="I64" i="7"/>
  <c r="I62" i="7"/>
  <c r="I61" i="7"/>
  <c r="J54" i="7"/>
  <c r="J52" i="7"/>
  <c r="J51" i="7"/>
  <c r="J50" i="7"/>
  <c r="J49" i="7"/>
  <c r="J48" i="7"/>
  <c r="H43" i="7"/>
  <c r="J43" i="7"/>
  <c r="J42" i="7"/>
  <c r="J41" i="7"/>
  <c r="J40" i="7"/>
  <c r="D50" i="7"/>
  <c r="D48" i="7"/>
  <c r="D47" i="7"/>
  <c r="D46" i="7"/>
  <c r="D42" i="7"/>
  <c r="D41" i="7"/>
  <c r="D40" i="7"/>
  <c r="C35" i="7"/>
  <c r="D35" i="7"/>
  <c r="E35" i="7"/>
  <c r="B35" i="7"/>
  <c r="E34" i="7"/>
  <c r="D34" i="7"/>
  <c r="C34" i="7"/>
  <c r="B34" i="7"/>
  <c r="C33" i="7"/>
  <c r="D33" i="7"/>
  <c r="E33" i="7"/>
  <c r="B33" i="7"/>
  <c r="B28" i="7"/>
  <c r="B27" i="7"/>
  <c r="C23" i="7"/>
  <c r="D23" i="7"/>
  <c r="E23" i="7"/>
  <c r="B23" i="7"/>
  <c r="C21" i="7"/>
  <c r="D21" i="7"/>
  <c r="E21" i="7"/>
  <c r="B21" i="7"/>
  <c r="E13" i="7"/>
  <c r="D13" i="7"/>
  <c r="D12" i="7"/>
  <c r="D11" i="7"/>
  <c r="D8" i="7"/>
  <c r="D9" i="7"/>
  <c r="D10" i="7"/>
  <c r="D7" i="7"/>
  <c r="C33" i="6"/>
  <c r="C31" i="6"/>
  <c r="B39" i="6"/>
  <c r="B38" i="6"/>
  <c r="C30" i="6"/>
  <c r="B23" i="6"/>
  <c r="B21" i="6"/>
  <c r="H10" i="6"/>
  <c r="H8" i="6"/>
  <c r="E14" i="5"/>
  <c r="E13" i="5"/>
  <c r="E12" i="5"/>
  <c r="E11" i="5"/>
  <c r="D8" i="5"/>
  <c r="D9" i="5"/>
  <c r="D10" i="5"/>
  <c r="D7" i="5"/>
  <c r="B11" i="5"/>
  <c r="E5" i="5"/>
  <c r="E12" i="4"/>
  <c r="E14" i="4"/>
  <c r="E13" i="4"/>
  <c r="B9" i="4"/>
  <c r="E9" i="4"/>
  <c r="D7" i="4"/>
  <c r="D8" i="4"/>
  <c r="D6" i="4"/>
  <c r="F26" i="3" l="1"/>
  <c r="C32" i="3"/>
  <c r="C31" i="3"/>
  <c r="C30" i="3"/>
  <c r="F25" i="3"/>
  <c r="E23" i="3"/>
  <c r="C23" i="3"/>
  <c r="F23" i="3"/>
  <c r="F22" i="3"/>
  <c r="F21" i="3"/>
  <c r="E21" i="3"/>
  <c r="C21" i="3"/>
  <c r="E15" i="3"/>
  <c r="C15" i="3"/>
  <c r="E14" i="3"/>
  <c r="E13" i="3"/>
  <c r="C14" i="3"/>
  <c r="C13" i="3"/>
  <c r="I17" i="2" l="1"/>
  <c r="I10" i="2"/>
  <c r="H17" i="2"/>
  <c r="H10" i="2"/>
  <c r="D19" i="2"/>
  <c r="D18" i="2"/>
  <c r="D14" i="2"/>
  <c r="D10" i="2"/>
  <c r="C18" i="2"/>
  <c r="C17" i="2"/>
  <c r="C13" i="2"/>
</calcChain>
</file>

<file path=xl/sharedStrings.xml><?xml version="1.0" encoding="utf-8"?>
<sst xmlns="http://schemas.openxmlformats.org/spreadsheetml/2006/main" count="452" uniqueCount="264">
  <si>
    <t>WORK STATION 01</t>
  </si>
  <si>
    <t>WORK STATION 02</t>
  </si>
  <si>
    <t>Move the product</t>
  </si>
  <si>
    <t>using Man power</t>
  </si>
  <si>
    <t>Customers</t>
  </si>
  <si>
    <t>Employees</t>
  </si>
  <si>
    <t>Supplier</t>
  </si>
  <si>
    <t>Visit the supplier</t>
  </si>
  <si>
    <t>Preventive Control</t>
  </si>
  <si>
    <t>Exercise 01</t>
  </si>
  <si>
    <t>Cost of qualIty report of JMM</t>
  </si>
  <si>
    <t>Prevention cost</t>
  </si>
  <si>
    <t>Apprisal cost</t>
  </si>
  <si>
    <t>Internal Faliure cost</t>
  </si>
  <si>
    <t>External failure cost</t>
  </si>
  <si>
    <t>Manufacturing rework cost</t>
  </si>
  <si>
    <t>800Cars * 380</t>
  </si>
  <si>
    <t>Warrenty repairs</t>
  </si>
  <si>
    <t>650Cars * 2,600</t>
  </si>
  <si>
    <t>Customer support center</t>
  </si>
  <si>
    <t>500Hrs * 58</t>
  </si>
  <si>
    <t>400Hrs * 30</t>
  </si>
  <si>
    <t>Supplier review</t>
  </si>
  <si>
    <t>Production downtime</t>
  </si>
  <si>
    <t>Total cost of quality</t>
  </si>
  <si>
    <t>USD</t>
  </si>
  <si>
    <t>Conformance Cost</t>
  </si>
  <si>
    <t>Non- conformance cost</t>
  </si>
  <si>
    <t>Equipment testing</t>
  </si>
  <si>
    <t>Exercise 2 - Mariginal Costing &amp; Target Costing</t>
  </si>
  <si>
    <t>X</t>
  </si>
  <si>
    <t>Y</t>
  </si>
  <si>
    <t>Production &amp; sales</t>
  </si>
  <si>
    <t>Selling price</t>
  </si>
  <si>
    <t>(-) Variable cost</t>
  </si>
  <si>
    <t xml:space="preserve">Material </t>
  </si>
  <si>
    <t>Labour</t>
  </si>
  <si>
    <t>Assembly</t>
  </si>
  <si>
    <t>Finishing</t>
  </si>
  <si>
    <t>Contribution</t>
  </si>
  <si>
    <t>C/S Ratio</t>
  </si>
  <si>
    <t>23/75</t>
  </si>
  <si>
    <t>18/90</t>
  </si>
  <si>
    <t>Decision</t>
  </si>
  <si>
    <t>Accept</t>
  </si>
  <si>
    <t>Raject</t>
  </si>
  <si>
    <t>Overall net profit margin</t>
  </si>
  <si>
    <t>Aggregate contribution</t>
  </si>
  <si>
    <t>23*12,000</t>
  </si>
  <si>
    <t>18*7,200</t>
  </si>
  <si>
    <t>Total</t>
  </si>
  <si>
    <t>(-) Product spe. Fixed cost</t>
  </si>
  <si>
    <t>(-) Common fixed cost</t>
  </si>
  <si>
    <t>Net profit</t>
  </si>
  <si>
    <t>Net profit margin</t>
  </si>
  <si>
    <t>Sales of X &amp; Y</t>
  </si>
  <si>
    <t>12,000*75</t>
  </si>
  <si>
    <t>7,200*90</t>
  </si>
  <si>
    <t>95,600/1,548,000</t>
  </si>
  <si>
    <t xml:space="preserve">Required NP margin </t>
  </si>
  <si>
    <t>Target C/S Ratio</t>
  </si>
  <si>
    <t>Exercise 5 - Life Cycle Costing</t>
  </si>
  <si>
    <t>Research and development cost</t>
  </si>
  <si>
    <t>Production Cost</t>
  </si>
  <si>
    <t>Y1</t>
  </si>
  <si>
    <t>Y2</t>
  </si>
  <si>
    <t>Y3</t>
  </si>
  <si>
    <t>Warrenty cost</t>
  </si>
  <si>
    <t>1 + 1.5 + 1 + 0.5</t>
  </si>
  <si>
    <t>Dismantaling cost</t>
  </si>
  <si>
    <t>Total life cycle cost</t>
  </si>
  <si>
    <t>Total life cycle production</t>
  </si>
  <si>
    <t>Life cycle cost per unit</t>
  </si>
  <si>
    <t>Exercise 6</t>
  </si>
  <si>
    <t>R &amp; D Cost</t>
  </si>
  <si>
    <t>$ Mn.</t>
  </si>
  <si>
    <t>Marketing cost</t>
  </si>
  <si>
    <t>5 + 4 + 3 + 0.9</t>
  </si>
  <si>
    <t>Production cost</t>
  </si>
  <si>
    <t>Y4</t>
  </si>
  <si>
    <t>Total life production units</t>
  </si>
  <si>
    <t>Life Cycle Cost per Unit</t>
  </si>
  <si>
    <t>50/20</t>
  </si>
  <si>
    <t>MM</t>
  </si>
  <si>
    <t>ACC</t>
  </si>
  <si>
    <t>LCC</t>
  </si>
  <si>
    <t>Traditionally</t>
  </si>
  <si>
    <t>Traditional</t>
  </si>
  <si>
    <t>Profit</t>
  </si>
  <si>
    <t>Sales - Production cost</t>
  </si>
  <si>
    <t>Decision Making</t>
  </si>
  <si>
    <t>Sales -  Variable cost</t>
  </si>
  <si>
    <t>Throughput</t>
  </si>
  <si>
    <t>Sales - Material cost</t>
  </si>
  <si>
    <t>Contemporary MA</t>
  </si>
  <si>
    <t>TPAR - Throughput Accounting Ratio</t>
  </si>
  <si>
    <t>TPAR</t>
  </si>
  <si>
    <t>=</t>
  </si>
  <si>
    <t>Return per Factory Hour</t>
  </si>
  <si>
    <t>Cost per Factory Hour</t>
  </si>
  <si>
    <t>Total throughput</t>
  </si>
  <si>
    <t>Bottle neck resources</t>
  </si>
  <si>
    <t>Material Cost</t>
  </si>
  <si>
    <t>Labour cost</t>
  </si>
  <si>
    <t>OH</t>
  </si>
  <si>
    <t>Fixed</t>
  </si>
  <si>
    <t>SP</t>
  </si>
  <si>
    <t>Mark up</t>
  </si>
  <si>
    <t>Decision making</t>
  </si>
  <si>
    <t>JIT</t>
  </si>
  <si>
    <t>Factory Cost</t>
  </si>
  <si>
    <t>Material cost</t>
  </si>
  <si>
    <t>Selling Price</t>
  </si>
  <si>
    <t>Exercise 7</t>
  </si>
  <si>
    <t>Unit selling price</t>
  </si>
  <si>
    <t>a)</t>
  </si>
  <si>
    <t>$</t>
  </si>
  <si>
    <t>Throughput per unit</t>
  </si>
  <si>
    <t>Bottleneck hours per unit</t>
  </si>
  <si>
    <t>Return per factory hours</t>
  </si>
  <si>
    <t>42.5/1.5</t>
  </si>
  <si>
    <t>b)</t>
  </si>
  <si>
    <t>Return per factory hour</t>
  </si>
  <si>
    <t>Cost per factory hour</t>
  </si>
  <si>
    <t>Factory cost per week</t>
  </si>
  <si>
    <t>Available bottleneck hours</t>
  </si>
  <si>
    <t>40Hrs*10Machines</t>
  </si>
  <si>
    <t>Exercise 8 - Production Plan under Throughput Accounting</t>
  </si>
  <si>
    <t>Step 1- Indentify the bottleneck resources</t>
  </si>
  <si>
    <t>Product</t>
  </si>
  <si>
    <t>A</t>
  </si>
  <si>
    <t>B</t>
  </si>
  <si>
    <t>C</t>
  </si>
  <si>
    <t>D</t>
  </si>
  <si>
    <t>Demand</t>
  </si>
  <si>
    <t>Machine Minutes</t>
  </si>
  <si>
    <t>Total Machine Minutes</t>
  </si>
  <si>
    <t>Total machine minutes required</t>
  </si>
  <si>
    <t>Machine minutes available</t>
  </si>
  <si>
    <t>400*60Min</t>
  </si>
  <si>
    <t>Shortage</t>
  </si>
  <si>
    <t>Hours</t>
  </si>
  <si>
    <t>Step 2 - Calculate the return per factory minute</t>
  </si>
  <si>
    <t>(-) Material cost</t>
  </si>
  <si>
    <t>Machine minutes per unit</t>
  </si>
  <si>
    <t>Throughput per factory minute</t>
  </si>
  <si>
    <t>Total factory cost per week</t>
  </si>
  <si>
    <t>Total factory minutes per week</t>
  </si>
  <si>
    <t>Cost per factory minute</t>
  </si>
  <si>
    <t>Step 3 - Calculate the cost per factory minute</t>
  </si>
  <si>
    <t>Step 4 - Calculate TPAR</t>
  </si>
  <si>
    <t>Return per factory minute</t>
  </si>
  <si>
    <t>Ranking</t>
  </si>
  <si>
    <t>No. 1</t>
  </si>
  <si>
    <t>No. 2</t>
  </si>
  <si>
    <t>Step 5 - Production plan</t>
  </si>
  <si>
    <t>Production</t>
  </si>
  <si>
    <t>Calculate weekly profit</t>
  </si>
  <si>
    <t>Total throuhput</t>
  </si>
  <si>
    <t>(-) Factory cost</t>
  </si>
  <si>
    <t>Weekly loss</t>
  </si>
  <si>
    <t>Throughput per machine minute</t>
  </si>
  <si>
    <t>Cost per machine minute</t>
  </si>
  <si>
    <t>Weekly profit</t>
  </si>
  <si>
    <t>Total throughtput</t>
  </si>
  <si>
    <t>Total factory cost</t>
  </si>
  <si>
    <t>Or</t>
  </si>
  <si>
    <t>No. 3</t>
  </si>
  <si>
    <t>No.4</t>
  </si>
  <si>
    <t>Next week scale down the production</t>
  </si>
  <si>
    <t>Not to produce A&amp; C</t>
  </si>
  <si>
    <t>Labour requirement for A &amp; C</t>
  </si>
  <si>
    <t>2,000*2Min</t>
  </si>
  <si>
    <t>Convert to hours</t>
  </si>
  <si>
    <t>Hourly rate</t>
  </si>
  <si>
    <t xml:space="preserve">Avoidable labour cost </t>
  </si>
  <si>
    <t>1,088,000-320,000</t>
  </si>
  <si>
    <t>Question 4 - Contribution / Throughput</t>
  </si>
  <si>
    <t>Identification of bottlenek resource</t>
  </si>
  <si>
    <t>Z</t>
  </si>
  <si>
    <t>N</t>
  </si>
  <si>
    <t>L</t>
  </si>
  <si>
    <t>Average Production per Process</t>
  </si>
  <si>
    <t>Identified as Bottleneck resources</t>
  </si>
  <si>
    <t>Maximum Availability</t>
  </si>
  <si>
    <t>Material</t>
  </si>
  <si>
    <t>VOH</t>
  </si>
  <si>
    <t>Contribution per units</t>
  </si>
  <si>
    <t>BN (Y) - Resouses time (min)</t>
  </si>
  <si>
    <t>Contribution to BN (Y) time minute</t>
  </si>
  <si>
    <t>Production plan</t>
  </si>
  <si>
    <t>Production Qty</t>
  </si>
  <si>
    <t>Process Y Minutes</t>
  </si>
  <si>
    <t>ii) Marginal costing principals</t>
  </si>
  <si>
    <t>iii) Throughput accounting principals</t>
  </si>
  <si>
    <t>Cost per factory minute W1</t>
  </si>
  <si>
    <t>W1 - Cost per factory minute</t>
  </si>
  <si>
    <t>Fixed cost</t>
  </si>
  <si>
    <t>Variable cost</t>
  </si>
  <si>
    <t>Present practice</t>
  </si>
  <si>
    <t>Not practical</t>
  </si>
  <si>
    <t>Total process Y minutes</t>
  </si>
  <si>
    <t>Reject</t>
  </si>
  <si>
    <t>TPAR&lt;1</t>
  </si>
  <si>
    <t>Total contribution</t>
  </si>
  <si>
    <t>(-) Fixed cost</t>
  </si>
  <si>
    <t>Profit / (loss)</t>
  </si>
  <si>
    <t>33,000+3,800</t>
  </si>
  <si>
    <t>Question 5 Contribution / Throughput</t>
  </si>
  <si>
    <t>Pops</t>
  </si>
  <si>
    <t>Oats</t>
  </si>
  <si>
    <t>VPOH</t>
  </si>
  <si>
    <t>Drying process minutes</t>
  </si>
  <si>
    <t>Contribution per drying process minute</t>
  </si>
  <si>
    <t>DP Minutes</t>
  </si>
  <si>
    <t>Total Minutes</t>
  </si>
  <si>
    <t>3,075*60</t>
  </si>
  <si>
    <t>A) Marginal costing principals</t>
  </si>
  <si>
    <t>B) Throughput accounting principals</t>
  </si>
  <si>
    <t>BN - Drying process minutes</t>
  </si>
  <si>
    <t>Return per Factory Minute</t>
  </si>
  <si>
    <t>Cost per Factory Minute W1</t>
  </si>
  <si>
    <t>Factory cost</t>
  </si>
  <si>
    <t>Time utilised</t>
  </si>
  <si>
    <t>Availability</t>
  </si>
  <si>
    <t>BN - Available drying process minutes</t>
  </si>
  <si>
    <t>Increase production of Oats by acquiring more drying process minutes</t>
  </si>
  <si>
    <t>Increase the efficiancy of existing usage of drying process minutes</t>
  </si>
  <si>
    <t>Review the factory cost and save cost on non-value addition activities</t>
  </si>
  <si>
    <t>Question 2</t>
  </si>
  <si>
    <t>Senior Stylist</t>
  </si>
  <si>
    <t>Workforce</t>
  </si>
  <si>
    <t>Junior Stylist</t>
  </si>
  <si>
    <t>Treatment Hrs</t>
  </si>
  <si>
    <t>Cut Hrs</t>
  </si>
  <si>
    <t>Salon Assitant</t>
  </si>
  <si>
    <t>Days</t>
  </si>
  <si>
    <t>Working Hrs</t>
  </si>
  <si>
    <t>No. of weeks working</t>
  </si>
  <si>
    <t>Annual salary</t>
  </si>
  <si>
    <t>Washing</t>
  </si>
  <si>
    <t>Other</t>
  </si>
  <si>
    <t>Service Charge</t>
  </si>
  <si>
    <t>A)</t>
  </si>
  <si>
    <t>Cuts</t>
  </si>
  <si>
    <t>Treatments</t>
  </si>
  <si>
    <t>8*6*50*3/1</t>
  </si>
  <si>
    <t>8*6*50*3/1.5</t>
  </si>
  <si>
    <t>8*6*50*2/.1</t>
  </si>
  <si>
    <t>8*6*50*2/0.3</t>
  </si>
  <si>
    <t>8*6*50*2/.5</t>
  </si>
  <si>
    <t>Bottleneck resources (Lowest Production)</t>
  </si>
  <si>
    <t>B)</t>
  </si>
  <si>
    <t>Throughtput</t>
  </si>
  <si>
    <t>Bottlenech Hrs (Senior stylist)</t>
  </si>
  <si>
    <t>Return per Senior Stylist Hour</t>
  </si>
  <si>
    <t>Cost per Senior Stylist Hour W1</t>
  </si>
  <si>
    <t>W1 - Salon Cost</t>
  </si>
  <si>
    <t>Labour Cost</t>
  </si>
  <si>
    <t>Other cost</t>
  </si>
  <si>
    <t>Total salon cost</t>
  </si>
  <si>
    <t>Senior Stylist Hours</t>
  </si>
  <si>
    <t>8*6*50*3</t>
  </si>
  <si>
    <t>Cost per Senior Stylist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</si>
</sst>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43" fontId="0" fillId="0" borderId="0" xfId="1" applyFont="1"/>
    <xf numFmtId="43" fontId="0" fillId="0" borderId="1" xfId="1" applyFont="1" applyBorder="1"/>
    <xf numFmtId="43" fontId="0" fillId="0" borderId="0" xfId="0" applyNumberFormat="1"/>
    <xf numFmtId="0" fontId="3" fillId="0" borderId="0" xfId="0" applyFont="1"/>
    <xf numFmtId="43" fontId="3" fillId="0" borderId="2" xfId="0" applyNumberFormat="1" applyFont="1" applyBorder="1"/>
    <xf numFmtId="0" fontId="2" fillId="0" borderId="0" xfId="0" applyFont="1" applyAlignment="1">
      <alignment horizontal="right"/>
    </xf>
    <xf numFmtId="9" fontId="0" fillId="0" borderId="0" xfId="2" applyFont="1"/>
    <xf numFmtId="0" fontId="5" fillId="0" borderId="0" xfId="0" applyFont="1" applyAlignment="1">
      <alignment horizontal="center"/>
    </xf>
    <xf numFmtId="43" fontId="6" fillId="0" borderId="0" xfId="1" applyFont="1"/>
    <xf numFmtId="0" fontId="0" fillId="0" borderId="0" xfId="0" applyAlignment="1">
      <alignment horizontal="left" indent="4"/>
    </xf>
    <xf numFmtId="13" fontId="0" fillId="0" borderId="0" xfId="1" quotePrefix="1" applyNumberFormat="1" applyFont="1"/>
    <xf numFmtId="43" fontId="3" fillId="0" borderId="0" xfId="1" applyFont="1"/>
    <xf numFmtId="43" fontId="4" fillId="0" borderId="0" xfId="1" applyFont="1"/>
    <xf numFmtId="0" fontId="4" fillId="0" borderId="0" xfId="0" applyFont="1"/>
    <xf numFmtId="43" fontId="4" fillId="0" borderId="0" xfId="1" applyFont="1" applyAlignment="1">
      <alignment horizontal="right"/>
    </xf>
    <xf numFmtId="43" fontId="0" fillId="0" borderId="0" xfId="1" applyFont="1" applyAlignment="1">
      <alignment horizontal="right"/>
    </xf>
    <xf numFmtId="0" fontId="7" fillId="0" borderId="0" xfId="0" applyFont="1" applyAlignment="1">
      <alignment horizontal="right"/>
    </xf>
    <xf numFmtId="10" fontId="3" fillId="0" borderId="0" xfId="2" applyNumberFormat="1" applyFont="1"/>
    <xf numFmtId="43" fontId="0" fillId="0" borderId="1" xfId="0" applyNumberFormat="1" applyBorder="1"/>
    <xf numFmtId="43" fontId="0" fillId="0" borderId="2" xfId="0" applyNumberFormat="1" applyBorder="1"/>
    <xf numFmtId="9" fontId="0" fillId="0" borderId="0" xfId="0" applyNumberFormat="1"/>
    <xf numFmtId="0" fontId="0" fillId="0" borderId="0" xfId="0" applyAlignment="1">
      <alignment horizontal="left" indent="6"/>
    </xf>
    <xf numFmtId="0" fontId="0" fillId="0" borderId="0" xfId="0" applyAlignment="1">
      <alignment horizontal="left"/>
    </xf>
    <xf numFmtId="43" fontId="2" fillId="0" borderId="0" xfId="1" applyFont="1"/>
    <xf numFmtId="164" fontId="3" fillId="0" borderId="3" xfId="1" applyNumberFormat="1" applyFon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43" fontId="2" fillId="0" borderId="0" xfId="0" applyNumberFormat="1" applyFont="1"/>
    <xf numFmtId="43" fontId="3" fillId="0" borderId="3" xfId="1" applyFont="1" applyBorder="1"/>
    <xf numFmtId="0" fontId="0" fillId="0" borderId="0" xfId="0" quotePrefix="1"/>
    <xf numFmtId="0" fontId="0" fillId="0" borderId="1" xfId="0" applyBorder="1"/>
    <xf numFmtId="0" fontId="0" fillId="2" borderId="0" xfId="0" applyFill="1"/>
    <xf numFmtId="43" fontId="0" fillId="2" borderId="0" xfId="1" applyFont="1" applyFill="1"/>
    <xf numFmtId="43" fontId="0" fillId="2" borderId="0" xfId="0" applyNumberFormat="1" applyFill="1"/>
    <xf numFmtId="0" fontId="5" fillId="0" borderId="0" xfId="0" applyFont="1"/>
    <xf numFmtId="0" fontId="0" fillId="0" borderId="2" xfId="0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8" fillId="0" borderId="0" xfId="0" applyFont="1"/>
    <xf numFmtId="0" fontId="3" fillId="2" borderId="0" xfId="0" applyFont="1" applyFill="1"/>
    <xf numFmtId="43" fontId="3" fillId="2" borderId="0" xfId="1" applyFont="1" applyFill="1"/>
    <xf numFmtId="43" fontId="4" fillId="2" borderId="0" xfId="0" applyNumberFormat="1" applyFont="1" applyFill="1"/>
    <xf numFmtId="43" fontId="0" fillId="0" borderId="0" xfId="0" applyNumberFormat="1" applyBorder="1"/>
    <xf numFmtId="43" fontId="0" fillId="0" borderId="0" xfId="1" applyFont="1" applyBorder="1"/>
    <xf numFmtId="43" fontId="2" fillId="0" borderId="2" xfId="0" applyNumberFormat="1" applyFont="1" applyBorder="1"/>
    <xf numFmtId="165" fontId="3" fillId="0" borderId="3" xfId="1" applyNumberFormat="1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43" fontId="9" fillId="0" borderId="0" xfId="1" applyFont="1"/>
    <xf numFmtId="43" fontId="9" fillId="0" borderId="0" xfId="0" applyNumberFormat="1" applyFont="1"/>
    <xf numFmtId="43" fontId="9" fillId="0" borderId="1" xfId="0" applyNumberFormat="1" applyFont="1" applyBorder="1"/>
    <xf numFmtId="43" fontId="9" fillId="0" borderId="2" xfId="0" applyNumberFormat="1" applyFont="1" applyBorder="1"/>
    <xf numFmtId="0" fontId="10" fillId="0" borderId="0" xfId="0" applyFont="1"/>
    <xf numFmtId="43" fontId="10" fillId="0" borderId="0" xfId="0" applyNumberFormat="1" applyFont="1"/>
    <xf numFmtId="166" fontId="10" fillId="0" borderId="0" xfId="1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9" fillId="0" borderId="0" xfId="0" applyFont="1" applyBorder="1"/>
    <xf numFmtId="43" fontId="9" fillId="0" borderId="0" xfId="1" applyFont="1" applyBorder="1"/>
    <xf numFmtId="43" fontId="9" fillId="0" borderId="0" xfId="0" applyNumberFormat="1" applyFont="1" applyBorder="1"/>
    <xf numFmtId="0" fontId="7" fillId="0" borderId="0" xfId="0" applyFont="1"/>
    <xf numFmtId="0" fontId="0" fillId="3" borderId="0" xfId="0" applyFill="1"/>
    <xf numFmtId="43" fontId="0" fillId="3" borderId="0" xfId="1" applyFont="1" applyFill="1"/>
    <xf numFmtId="0" fontId="7" fillId="4" borderId="0" xfId="0" applyFont="1" applyFill="1"/>
    <xf numFmtId="0" fontId="0" fillId="4" borderId="0" xfId="0" applyFill="1"/>
    <xf numFmtId="43" fontId="0" fillId="4" borderId="0" xfId="1" applyFont="1" applyFill="1"/>
    <xf numFmtId="0" fontId="4" fillId="4" borderId="0" xfId="0" applyFont="1" applyFill="1"/>
    <xf numFmtId="43" fontId="0" fillId="4" borderId="0" xfId="0" applyNumberFormat="1" applyFill="1"/>
    <xf numFmtId="0" fontId="2" fillId="4" borderId="0" xfId="0" applyFont="1" applyFill="1"/>
    <xf numFmtId="43" fontId="0" fillId="4" borderId="0" xfId="0" applyNumberFormat="1" applyFill="1" applyBorder="1"/>
    <xf numFmtId="43" fontId="0" fillId="4" borderId="0" xfId="1" applyFont="1" applyFill="1" applyBorder="1"/>
    <xf numFmtId="43" fontId="2" fillId="4" borderId="0" xfId="0" applyNumberFormat="1" applyFont="1" applyFill="1"/>
    <xf numFmtId="0" fontId="3" fillId="4" borderId="0" xfId="0" applyFont="1" applyFill="1"/>
    <xf numFmtId="43" fontId="3" fillId="4" borderId="2" xfId="0" applyNumberFormat="1" applyFont="1" applyFill="1" applyBorder="1"/>
    <xf numFmtId="2" fontId="3" fillId="0" borderId="3" xfId="0" applyNumberFormat="1" applyFont="1" applyBorder="1"/>
    <xf numFmtId="0" fontId="0" fillId="0" borderId="0" xfId="0" applyAlignment="1">
      <alignment horizontal="center" wrapText="1"/>
    </xf>
    <xf numFmtId="43" fontId="4" fillId="0" borderId="0" xfId="0" applyNumberFormat="1" applyFont="1"/>
    <xf numFmtId="0" fontId="2" fillId="0" borderId="0" xfId="0" applyFont="1" applyFill="1"/>
    <xf numFmtId="43" fontId="0" fillId="0" borderId="2" xfId="1" applyFont="1" applyBorder="1"/>
    <xf numFmtId="0" fontId="2" fillId="0" borderId="0" xfId="0" applyFont="1" applyAlignment="1">
      <alignment horizontal="center"/>
    </xf>
    <xf numFmtId="43" fontId="0" fillId="5" borderId="0" xfId="0" applyNumberFormat="1" applyFill="1"/>
    <xf numFmtId="43" fontId="0" fillId="6" borderId="0" xfId="1" applyFont="1" applyFill="1"/>
    <xf numFmtId="0" fontId="0" fillId="0" borderId="0" xfId="0" applyFont="1"/>
    <xf numFmtId="0" fontId="0" fillId="7" borderId="0" xfId="0" applyFill="1"/>
    <xf numFmtId="43" fontId="0" fillId="7" borderId="0" xfId="1" applyFont="1" applyFill="1"/>
    <xf numFmtId="0" fontId="2" fillId="8" borderId="0" xfId="0" applyFont="1" applyFill="1" applyAlignment="1">
      <alignment horizontal="left"/>
    </xf>
    <xf numFmtId="0" fontId="0" fillId="8" borderId="0" xfId="0" applyFill="1"/>
    <xf numFmtId="0" fontId="0" fillId="8" borderId="0" xfId="0" applyFill="1" applyAlignment="1">
      <alignment horizontal="left" indent="2"/>
    </xf>
    <xf numFmtId="43" fontId="0" fillId="8" borderId="0" xfId="0" applyNumberFormat="1" applyFill="1"/>
    <xf numFmtId="43" fontId="0" fillId="8" borderId="0" xfId="1" applyFont="1" applyFill="1"/>
    <xf numFmtId="0" fontId="0" fillId="8" borderId="0" xfId="0" applyFill="1" applyAlignment="1"/>
    <xf numFmtId="0" fontId="3" fillId="8" borderId="0" xfId="0" applyFont="1" applyFill="1" applyAlignment="1"/>
    <xf numFmtId="0" fontId="3" fillId="8" borderId="0" xfId="0" applyFont="1" applyFill="1"/>
    <xf numFmtId="43" fontId="3" fillId="8" borderId="2" xfId="0" applyNumberFormat="1" applyFont="1" applyFill="1" applyBorder="1"/>
    <xf numFmtId="43" fontId="0" fillId="8" borderId="1" xfId="1" applyFont="1" applyFill="1" applyBorder="1"/>
    <xf numFmtId="43" fontId="2" fillId="0" borderId="0" xfId="1" applyNumberFormat="1" applyFont="1"/>
    <xf numFmtId="0" fontId="0" fillId="0" borderId="0" xfId="0" applyAlignment="1">
      <alignment horizontal="left" indent="3"/>
    </xf>
    <xf numFmtId="0" fontId="2" fillId="8" borderId="0" xfId="0" applyFont="1" applyFill="1"/>
    <xf numFmtId="43" fontId="2" fillId="8" borderId="2" xfId="0" applyNumberFormat="1" applyFont="1" applyFill="1" applyBorder="1"/>
    <xf numFmtId="0" fontId="7" fillId="8" borderId="0" xfId="0" applyFont="1" applyFill="1"/>
    <xf numFmtId="0" fontId="0" fillId="7" borderId="0" xfId="0" applyFill="1" applyAlignment="1">
      <alignment horizontal="center"/>
    </xf>
    <xf numFmtId="164" fontId="0" fillId="7" borderId="0" xfId="1" applyNumberFormat="1" applyFont="1" applyFill="1"/>
    <xf numFmtId="164" fontId="0" fillId="7" borderId="0" xfId="0" applyNumberFormat="1" applyFill="1"/>
    <xf numFmtId="0" fontId="2" fillId="7" borderId="0" xfId="0" applyFont="1" applyFill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5</xdr:row>
      <xdr:rowOff>161925</xdr:rowOff>
    </xdr:from>
    <xdr:to>
      <xdr:col>12</xdr:col>
      <xdr:colOff>0</xdr:colOff>
      <xdr:row>6</xdr:row>
      <xdr:rowOff>161925</xdr:rowOff>
    </xdr:to>
    <xdr:sp macro="" textlink="">
      <xdr:nvSpPr>
        <xdr:cNvPr id="2" name="Right Arrow 1"/>
        <xdr:cNvSpPr/>
      </xdr:nvSpPr>
      <xdr:spPr>
        <a:xfrm>
          <a:off x="2476500" y="1114425"/>
          <a:ext cx="4838700" cy="190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19050</xdr:colOff>
      <xdr:row>7</xdr:row>
      <xdr:rowOff>85725</xdr:rowOff>
    </xdr:from>
    <xdr:to>
      <xdr:col>12</xdr:col>
      <xdr:colOff>19050</xdr:colOff>
      <xdr:row>9</xdr:row>
      <xdr:rowOff>85725</xdr:rowOff>
    </xdr:to>
    <xdr:sp macro="" textlink="">
      <xdr:nvSpPr>
        <xdr:cNvPr id="3" name="Rectangle 2"/>
        <xdr:cNvSpPr/>
      </xdr:nvSpPr>
      <xdr:spPr>
        <a:xfrm>
          <a:off x="2457450" y="1419225"/>
          <a:ext cx="4876800" cy="381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Conveyor - Motor Driven</a:t>
          </a:r>
        </a:p>
      </xdr:txBody>
    </xdr:sp>
    <xdr:clientData/>
  </xdr:twoCellAnchor>
  <xdr:twoCellAnchor>
    <xdr:from>
      <xdr:col>2</xdr:col>
      <xdr:colOff>323850</xdr:colOff>
      <xdr:row>22</xdr:row>
      <xdr:rowOff>142875</xdr:rowOff>
    </xdr:from>
    <xdr:to>
      <xdr:col>4</xdr:col>
      <xdr:colOff>466725</xdr:colOff>
      <xdr:row>28</xdr:row>
      <xdr:rowOff>142875</xdr:rowOff>
    </xdr:to>
    <xdr:sp macro="" textlink="">
      <xdr:nvSpPr>
        <xdr:cNvPr id="4" name="Oval 3"/>
        <xdr:cNvSpPr/>
      </xdr:nvSpPr>
      <xdr:spPr>
        <a:xfrm>
          <a:off x="1543050" y="4333875"/>
          <a:ext cx="1362075" cy="11430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Supplier</a:t>
          </a:r>
        </a:p>
      </xdr:txBody>
    </xdr:sp>
    <xdr:clientData/>
  </xdr:twoCellAnchor>
  <xdr:twoCellAnchor>
    <xdr:from>
      <xdr:col>8</xdr:col>
      <xdr:colOff>0</xdr:colOff>
      <xdr:row>22</xdr:row>
      <xdr:rowOff>152400</xdr:rowOff>
    </xdr:from>
    <xdr:to>
      <xdr:col>10</xdr:col>
      <xdr:colOff>142875</xdr:colOff>
      <xdr:row>28</xdr:row>
      <xdr:rowOff>152400</xdr:rowOff>
    </xdr:to>
    <xdr:sp macro="" textlink="">
      <xdr:nvSpPr>
        <xdr:cNvPr id="5" name="Oval 4"/>
        <xdr:cNvSpPr/>
      </xdr:nvSpPr>
      <xdr:spPr>
        <a:xfrm>
          <a:off x="4876800" y="4343400"/>
          <a:ext cx="1362075" cy="11430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Production</a:t>
          </a:r>
        </a:p>
      </xdr:txBody>
    </xdr:sp>
    <xdr:clientData/>
  </xdr:twoCellAnchor>
  <xdr:twoCellAnchor>
    <xdr:from>
      <xdr:col>13</xdr:col>
      <xdr:colOff>257175</xdr:colOff>
      <xdr:row>22</xdr:row>
      <xdr:rowOff>180975</xdr:rowOff>
    </xdr:from>
    <xdr:to>
      <xdr:col>15</xdr:col>
      <xdr:colOff>400050</xdr:colOff>
      <xdr:row>28</xdr:row>
      <xdr:rowOff>180975</xdr:rowOff>
    </xdr:to>
    <xdr:sp macro="" textlink="">
      <xdr:nvSpPr>
        <xdr:cNvPr id="6" name="Oval 5"/>
        <xdr:cNvSpPr/>
      </xdr:nvSpPr>
      <xdr:spPr>
        <a:xfrm>
          <a:off x="8181975" y="4371975"/>
          <a:ext cx="1362075" cy="11430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Customer</a:t>
          </a:r>
        </a:p>
      </xdr:txBody>
    </xdr:sp>
    <xdr:clientData/>
  </xdr:twoCellAnchor>
  <xdr:twoCellAnchor>
    <xdr:from>
      <xdr:col>2</xdr:col>
      <xdr:colOff>428625</xdr:colOff>
      <xdr:row>18</xdr:row>
      <xdr:rowOff>66675</xdr:rowOff>
    </xdr:from>
    <xdr:to>
      <xdr:col>15</xdr:col>
      <xdr:colOff>180975</xdr:colOff>
      <xdr:row>21</xdr:row>
      <xdr:rowOff>95250</xdr:rowOff>
    </xdr:to>
    <xdr:sp macro="" textlink="">
      <xdr:nvSpPr>
        <xdr:cNvPr id="7" name="Right Arrow 6"/>
        <xdr:cNvSpPr/>
      </xdr:nvSpPr>
      <xdr:spPr>
        <a:xfrm>
          <a:off x="1647825" y="3495675"/>
          <a:ext cx="7677150" cy="600075"/>
        </a:xfrm>
        <a:prstGeom prst="righ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>
              <a:solidFill>
                <a:sysClr val="windowText" lastClr="000000"/>
              </a:solidFill>
            </a:rPr>
            <a:t>Supply Chain</a:t>
          </a:r>
          <a:r>
            <a:rPr lang="en-US" sz="1400" b="1" baseline="0">
              <a:solidFill>
                <a:sysClr val="windowText" lastClr="000000"/>
              </a:solidFill>
            </a:rPr>
            <a:t> Management</a:t>
          </a:r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571500</xdr:colOff>
      <xdr:row>24</xdr:row>
      <xdr:rowOff>28575</xdr:rowOff>
    </xdr:from>
    <xdr:to>
      <xdr:col>7</xdr:col>
      <xdr:colOff>581025</xdr:colOff>
      <xdr:row>26</xdr:row>
      <xdr:rowOff>123825</xdr:rowOff>
    </xdr:to>
    <xdr:sp macro="" textlink="">
      <xdr:nvSpPr>
        <xdr:cNvPr id="8" name="Right Arrow 7"/>
        <xdr:cNvSpPr/>
      </xdr:nvSpPr>
      <xdr:spPr>
        <a:xfrm>
          <a:off x="3009900" y="4600575"/>
          <a:ext cx="1838325" cy="476250"/>
        </a:xfrm>
        <a:prstGeom prst="rightArrow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Material</a:t>
          </a:r>
        </a:p>
      </xdr:txBody>
    </xdr:sp>
    <xdr:clientData/>
  </xdr:twoCellAnchor>
  <xdr:twoCellAnchor>
    <xdr:from>
      <xdr:col>3</xdr:col>
      <xdr:colOff>333375</xdr:colOff>
      <xdr:row>31</xdr:row>
      <xdr:rowOff>38099</xdr:rowOff>
    </xdr:from>
    <xdr:to>
      <xdr:col>9</xdr:col>
      <xdr:colOff>200025</xdr:colOff>
      <xdr:row>36</xdr:row>
      <xdr:rowOff>85724</xdr:rowOff>
    </xdr:to>
    <xdr:sp macro="" textlink="">
      <xdr:nvSpPr>
        <xdr:cNvPr id="9" name="Curved Left Arrow 8"/>
        <xdr:cNvSpPr/>
      </xdr:nvSpPr>
      <xdr:spPr>
        <a:xfrm rot="5400000">
          <a:off x="3424237" y="4681537"/>
          <a:ext cx="1000125" cy="3524250"/>
        </a:xfrm>
        <a:prstGeom prst="curvedLeftArrow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276224</xdr:colOff>
      <xdr:row>19</xdr:row>
      <xdr:rowOff>114300</xdr:rowOff>
    </xdr:to>
    <xdr:sp macro="" textlink="">
      <xdr:nvSpPr>
        <xdr:cNvPr id="10" name="Rectangle 9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447674</xdr:colOff>
      <xdr:row>19</xdr:row>
      <xdr:rowOff>76200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6</xdr:row>
      <xdr:rowOff>57150</xdr:rowOff>
    </xdr:from>
    <xdr:to>
      <xdr:col>4</xdr:col>
      <xdr:colOff>600075</xdr:colOff>
      <xdr:row>10</xdr:row>
      <xdr:rowOff>0</xdr:rowOff>
    </xdr:to>
    <xdr:sp macro="" textlink="">
      <xdr:nvSpPr>
        <xdr:cNvPr id="2" name="Right Brace 1"/>
        <xdr:cNvSpPr/>
      </xdr:nvSpPr>
      <xdr:spPr>
        <a:xfrm>
          <a:off x="4610100" y="1200150"/>
          <a:ext cx="542925" cy="7048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19050</xdr:colOff>
      <xdr:row>13</xdr:row>
      <xdr:rowOff>9526</xdr:rowOff>
    </xdr:from>
    <xdr:to>
      <xdr:col>4</xdr:col>
      <xdr:colOff>590550</xdr:colOff>
      <xdr:row>17</xdr:row>
      <xdr:rowOff>123826</xdr:rowOff>
    </xdr:to>
    <xdr:sp macro="" textlink="">
      <xdr:nvSpPr>
        <xdr:cNvPr id="3" name="Right Brace 2"/>
        <xdr:cNvSpPr/>
      </xdr:nvSpPr>
      <xdr:spPr>
        <a:xfrm>
          <a:off x="4572000" y="2486026"/>
          <a:ext cx="571500" cy="876300"/>
        </a:xfrm>
        <a:prstGeom prst="rightBrace">
          <a:avLst>
            <a:gd name="adj1" fmla="val 8333"/>
            <a:gd name="adj2" fmla="val 52062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323849</xdr:colOff>
      <xdr:row>19</xdr:row>
      <xdr:rowOff>104775</xdr:rowOff>
    </xdr:to>
    <xdr:sp macro="" textlink="">
      <xdr:nvSpPr>
        <xdr:cNvPr id="4" name="Rectangle 3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152399</xdr:colOff>
      <xdr:row>19</xdr:row>
      <xdr:rowOff>85725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552449</xdr:colOff>
      <xdr:row>19</xdr:row>
      <xdr:rowOff>95250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485774</xdr:colOff>
      <xdr:row>19</xdr:row>
      <xdr:rowOff>95250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28574</xdr:colOff>
      <xdr:row>19</xdr:row>
      <xdr:rowOff>114300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28574</xdr:colOff>
      <xdr:row>18</xdr:row>
      <xdr:rowOff>95250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400049</xdr:colOff>
      <xdr:row>17</xdr:row>
      <xdr:rowOff>114300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304799</xdr:colOff>
      <xdr:row>18</xdr:row>
      <xdr:rowOff>114300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O35"/>
  <sheetViews>
    <sheetView tabSelected="1" workbookViewId="0">
      <selection activeCell="C22" sqref="C22"/>
    </sheetView>
  </sheetViews>
  <sheetFormatPr defaultRowHeight="15" x14ac:dyDescent="0.25"/>
  <sheetData>
    <row r="6" spans="3:14" x14ac:dyDescent="0.25">
      <c r="C6" s="109" t="s">
        <v>0</v>
      </c>
      <c r="D6" s="109"/>
      <c r="H6" t="s">
        <v>2</v>
      </c>
      <c r="J6" t="s">
        <v>3</v>
      </c>
      <c r="M6" s="109" t="s">
        <v>1</v>
      </c>
      <c r="N6" s="109"/>
    </row>
    <row r="7" spans="3:14" x14ac:dyDescent="0.25">
      <c r="C7" s="109"/>
      <c r="D7" s="109"/>
      <c r="M7" s="109"/>
      <c r="N7" s="109"/>
    </row>
    <row r="8" spans="3:14" x14ac:dyDescent="0.25">
      <c r="C8" s="109"/>
      <c r="D8" s="109"/>
      <c r="M8" s="109"/>
      <c r="N8" s="109"/>
    </row>
    <row r="9" spans="3:14" x14ac:dyDescent="0.25">
      <c r="C9" s="109"/>
      <c r="D9" s="109"/>
      <c r="M9" s="109"/>
      <c r="N9" s="109"/>
    </row>
    <row r="14" spans="3:14" x14ac:dyDescent="0.25">
      <c r="E14" s="109" t="s">
        <v>0</v>
      </c>
      <c r="F14" s="109"/>
      <c r="G14" s="109" t="s">
        <v>1</v>
      </c>
      <c r="H14" s="109"/>
    </row>
    <row r="15" spans="3:14" x14ac:dyDescent="0.25">
      <c r="E15" s="109"/>
      <c r="F15" s="109"/>
      <c r="G15" s="109"/>
      <c r="H15" s="109"/>
    </row>
    <row r="16" spans="3:14" x14ac:dyDescent="0.25">
      <c r="E16" s="109"/>
      <c r="F16" s="109"/>
      <c r="G16" s="109"/>
      <c r="H16" s="109"/>
    </row>
    <row r="17" spans="4:15" x14ac:dyDescent="0.25">
      <c r="E17" s="109"/>
      <c r="F17" s="109"/>
      <c r="G17" s="109"/>
      <c r="H17" s="109"/>
    </row>
    <row r="31" spans="4:15" x14ac:dyDescent="0.25">
      <c r="D31" t="s">
        <v>6</v>
      </c>
      <c r="J31" t="s">
        <v>5</v>
      </c>
      <c r="O31" t="s">
        <v>4</v>
      </c>
    </row>
    <row r="34" spans="7:7" x14ac:dyDescent="0.25">
      <c r="G34" t="s">
        <v>7</v>
      </c>
    </row>
    <row r="35" spans="7:7" x14ac:dyDescent="0.25">
      <c r="G35" t="s">
        <v>8</v>
      </c>
    </row>
  </sheetData>
  <mergeCells count="4">
    <mergeCell ref="C6:D9"/>
    <mergeCell ref="M6:N9"/>
    <mergeCell ref="E14:F17"/>
    <mergeCell ref="G14:H1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0"/>
  <sheetViews>
    <sheetView workbookViewId="0">
      <selection activeCell="L23" sqref="L23"/>
    </sheetView>
  </sheetViews>
  <sheetFormatPr defaultRowHeight="15" x14ac:dyDescent="0.25"/>
  <cols>
    <col min="1" max="1" width="35.140625" bestFit="1" customWidth="1"/>
    <col min="2" max="2" width="12.140625" customWidth="1"/>
    <col min="3" max="3" width="11" customWidth="1"/>
    <col min="4" max="4" width="13.42578125" customWidth="1"/>
    <col min="5" max="5" width="9.5703125" bestFit="1" customWidth="1"/>
    <col min="7" max="7" width="12.140625" customWidth="1"/>
    <col min="8" max="8" width="21" customWidth="1"/>
    <col min="9" max="10" width="11.5703125" bestFit="1" customWidth="1"/>
    <col min="11" max="11" width="15.28515625" bestFit="1" customWidth="1"/>
  </cols>
  <sheetData>
    <row r="2" spans="1:11" x14ac:dyDescent="0.25">
      <c r="A2" s="1" t="s">
        <v>208</v>
      </c>
    </row>
    <row r="4" spans="1:11" x14ac:dyDescent="0.25">
      <c r="A4" s="1" t="s">
        <v>217</v>
      </c>
      <c r="C4" s="18" t="s">
        <v>209</v>
      </c>
      <c r="D4" s="18"/>
      <c r="E4" s="18" t="s">
        <v>210</v>
      </c>
      <c r="H4" s="91"/>
      <c r="I4" s="91"/>
      <c r="J4" s="91"/>
      <c r="K4" s="91"/>
    </row>
    <row r="5" spans="1:11" x14ac:dyDescent="0.25">
      <c r="A5" t="s">
        <v>33</v>
      </c>
      <c r="C5" s="2">
        <v>900</v>
      </c>
      <c r="D5" s="2"/>
      <c r="E5" s="2">
        <v>1050</v>
      </c>
      <c r="H5" s="102" t="s">
        <v>39</v>
      </c>
      <c r="I5" s="91"/>
      <c r="J5" s="91"/>
      <c r="K5" s="91"/>
    </row>
    <row r="6" spans="1:11" x14ac:dyDescent="0.25">
      <c r="A6" s="1" t="s">
        <v>34</v>
      </c>
      <c r="H6" s="92" t="s">
        <v>209</v>
      </c>
      <c r="I6" s="93">
        <f>+B17</f>
        <v>113250</v>
      </c>
      <c r="J6" s="93">
        <f>+C9</f>
        <v>450</v>
      </c>
      <c r="K6" s="94">
        <f>I6*J6</f>
        <v>50962500</v>
      </c>
    </row>
    <row r="7" spans="1:11" x14ac:dyDescent="0.25">
      <c r="A7" t="s">
        <v>185</v>
      </c>
      <c r="C7" s="2">
        <v>-30</v>
      </c>
      <c r="D7" s="2"/>
      <c r="E7" s="2">
        <v>-600</v>
      </c>
      <c r="F7" s="8">
        <f>C7/C9</f>
        <v>-6.6666666666666666E-2</v>
      </c>
      <c r="G7" s="8">
        <f>E7/660</f>
        <v>-0.90909090909090906</v>
      </c>
      <c r="H7" s="92" t="s">
        <v>210</v>
      </c>
      <c r="I7" s="93">
        <f>+B16</f>
        <v>54000</v>
      </c>
      <c r="J7" s="93">
        <f>+E9</f>
        <v>390</v>
      </c>
      <c r="K7" s="94">
        <f>I7*J7</f>
        <v>21060000</v>
      </c>
    </row>
    <row r="8" spans="1:11" ht="15.75" thickBot="1" x14ac:dyDescent="0.3">
      <c r="A8" t="s">
        <v>211</v>
      </c>
      <c r="C8" s="3">
        <v>-420</v>
      </c>
      <c r="D8" s="2"/>
      <c r="E8" s="3">
        <v>-60</v>
      </c>
      <c r="F8" s="8">
        <f>C8/C9</f>
        <v>-0.93333333333333335</v>
      </c>
      <c r="G8" s="8">
        <f>E8/660</f>
        <v>-9.0909090909090912E-2</v>
      </c>
      <c r="H8" s="91"/>
      <c r="I8" s="91"/>
      <c r="J8" s="91"/>
      <c r="K8" s="103">
        <f>SUM(K6:K7)</f>
        <v>72022500</v>
      </c>
    </row>
    <row r="9" spans="1:11" ht="15.75" thickTop="1" x14ac:dyDescent="0.25">
      <c r="A9" t="s">
        <v>39</v>
      </c>
      <c r="C9" s="4">
        <f>SUM(C5:C8)</f>
        <v>450</v>
      </c>
      <c r="E9" s="4">
        <f>SUM(E5:E8)</f>
        <v>390</v>
      </c>
      <c r="H9" s="91"/>
      <c r="I9" s="91"/>
      <c r="J9" s="91"/>
      <c r="K9" s="91"/>
    </row>
    <row r="10" spans="1:11" x14ac:dyDescent="0.25">
      <c r="A10" t="s">
        <v>212</v>
      </c>
      <c r="C10" s="4">
        <v>1.2</v>
      </c>
      <c r="E10" s="4">
        <v>0.9</v>
      </c>
    </row>
    <row r="11" spans="1:11" x14ac:dyDescent="0.25">
      <c r="A11" t="s">
        <v>213</v>
      </c>
      <c r="C11" s="2">
        <f>C9/C10</f>
        <v>375</v>
      </c>
      <c r="D11" s="2"/>
      <c r="E11" s="2">
        <f>E9/E10</f>
        <v>433.33333333333331</v>
      </c>
    </row>
    <row r="12" spans="1:11" x14ac:dyDescent="0.25">
      <c r="A12" s="1" t="s">
        <v>152</v>
      </c>
      <c r="B12" s="1"/>
      <c r="C12" s="25">
        <v>2</v>
      </c>
      <c r="D12" s="1"/>
      <c r="E12" s="25">
        <v>1</v>
      </c>
    </row>
    <row r="14" spans="1:11" x14ac:dyDescent="0.25">
      <c r="A14" s="65" t="s">
        <v>190</v>
      </c>
    </row>
    <row r="15" spans="1:11" x14ac:dyDescent="0.25">
      <c r="A15" s="1" t="s">
        <v>129</v>
      </c>
      <c r="B15" s="7" t="s">
        <v>156</v>
      </c>
      <c r="C15" s="7" t="s">
        <v>214</v>
      </c>
      <c r="D15" s="39" t="s">
        <v>215</v>
      </c>
    </row>
    <row r="16" spans="1:11" x14ac:dyDescent="0.25">
      <c r="A16" s="87" t="s">
        <v>210</v>
      </c>
      <c r="B16" s="2">
        <v>54000</v>
      </c>
      <c r="C16" s="4">
        <f>+E10</f>
        <v>0.9</v>
      </c>
      <c r="D16" s="2">
        <f>B16*C16</f>
        <v>48600</v>
      </c>
    </row>
    <row r="17" spans="1:11" x14ac:dyDescent="0.25">
      <c r="A17" s="87" t="s">
        <v>209</v>
      </c>
      <c r="B17" s="2">
        <f>D17/C17</f>
        <v>113250</v>
      </c>
      <c r="C17" s="2">
        <v>1.2</v>
      </c>
      <c r="D17" s="4">
        <f>D18-D16</f>
        <v>135900</v>
      </c>
    </row>
    <row r="18" spans="1:11" ht="15.75" thickBot="1" x14ac:dyDescent="0.3">
      <c r="D18" s="83">
        <f>3075*60</f>
        <v>184500</v>
      </c>
      <c r="E18" t="s">
        <v>216</v>
      </c>
    </row>
    <row r="19" spans="1:11" ht="15.75" thickTop="1" x14ac:dyDescent="0.25"/>
    <row r="20" spans="1:11" x14ac:dyDescent="0.25">
      <c r="A20" s="1" t="s">
        <v>218</v>
      </c>
    </row>
    <row r="21" spans="1:11" x14ac:dyDescent="0.25">
      <c r="C21" s="7" t="s">
        <v>209</v>
      </c>
      <c r="D21" s="7"/>
      <c r="E21" s="7" t="s">
        <v>210</v>
      </c>
      <c r="H21" s="104" t="s">
        <v>92</v>
      </c>
      <c r="I21" s="91"/>
      <c r="J21" s="91"/>
      <c r="K21" s="91"/>
    </row>
    <row r="22" spans="1:11" x14ac:dyDescent="0.25">
      <c r="A22" t="s">
        <v>33</v>
      </c>
      <c r="C22" s="2">
        <v>900</v>
      </c>
      <c r="D22" s="2"/>
      <c r="E22" s="2">
        <v>1050</v>
      </c>
      <c r="H22" s="92" t="s">
        <v>209</v>
      </c>
      <c r="I22" s="93">
        <f>+B33</f>
        <v>144000</v>
      </c>
      <c r="J22" s="93">
        <f>+C24</f>
        <v>870</v>
      </c>
      <c r="K22" s="94">
        <f>I22*J22</f>
        <v>125280000</v>
      </c>
    </row>
    <row r="23" spans="1:11" x14ac:dyDescent="0.25">
      <c r="A23" t="s">
        <v>185</v>
      </c>
      <c r="C23" s="3">
        <v>-30</v>
      </c>
      <c r="D23" s="2"/>
      <c r="E23" s="3">
        <v>-600</v>
      </c>
      <c r="H23" s="92" t="s">
        <v>210</v>
      </c>
      <c r="I23" s="93">
        <f>+B34</f>
        <v>13000</v>
      </c>
      <c r="J23" s="93">
        <f>+E24</f>
        <v>450</v>
      </c>
      <c r="K23" s="99">
        <f>I23*J23</f>
        <v>5850000</v>
      </c>
    </row>
    <row r="24" spans="1:11" x14ac:dyDescent="0.25">
      <c r="A24" t="s">
        <v>92</v>
      </c>
      <c r="C24" s="4">
        <f>SUM(C22:C23)</f>
        <v>870</v>
      </c>
      <c r="E24" s="4">
        <f>SUM(E22:E23)</f>
        <v>450</v>
      </c>
      <c r="H24" s="91" t="s">
        <v>100</v>
      </c>
      <c r="I24" s="91"/>
      <c r="J24" s="91"/>
      <c r="K24" s="93">
        <f>SUM(K22:K23)</f>
        <v>131130000</v>
      </c>
    </row>
    <row r="25" spans="1:11" x14ac:dyDescent="0.25">
      <c r="A25" t="s">
        <v>219</v>
      </c>
      <c r="C25" s="2">
        <v>1.2</v>
      </c>
      <c r="D25" s="2"/>
      <c r="E25" s="2">
        <v>0.9</v>
      </c>
      <c r="H25" s="33" t="s">
        <v>222</v>
      </c>
      <c r="I25" s="33"/>
      <c r="J25" s="33"/>
      <c r="K25" s="35">
        <f>-D50</f>
        <v>-61260000</v>
      </c>
    </row>
    <row r="26" spans="1:11" ht="15.75" thickBot="1" x14ac:dyDescent="0.3">
      <c r="A26" s="1" t="s">
        <v>220</v>
      </c>
      <c r="B26" s="1"/>
      <c r="C26" s="25">
        <f>C24/C25</f>
        <v>725</v>
      </c>
      <c r="D26" s="1"/>
      <c r="E26" s="25">
        <f>E24/E25</f>
        <v>500</v>
      </c>
      <c r="H26" s="102" t="s">
        <v>88</v>
      </c>
      <c r="I26" s="102"/>
      <c r="J26" s="102"/>
      <c r="K26" s="103">
        <f>SUM(K24:K25)</f>
        <v>69870000</v>
      </c>
    </row>
    <row r="27" spans="1:11" ht="15.75" thickTop="1" x14ac:dyDescent="0.25">
      <c r="A27" s="1" t="s">
        <v>221</v>
      </c>
      <c r="B27" s="1"/>
      <c r="C27" s="100">
        <f>+D43</f>
        <v>287.80487804878049</v>
      </c>
      <c r="D27" s="100"/>
      <c r="E27" s="100">
        <f>+D43</f>
        <v>287.80487804878049</v>
      </c>
      <c r="H27" s="91"/>
      <c r="I27" s="91"/>
      <c r="J27" s="91"/>
      <c r="K27" s="91"/>
    </row>
    <row r="28" spans="1:11" x14ac:dyDescent="0.25">
      <c r="A28" s="5" t="s">
        <v>96</v>
      </c>
      <c r="B28" s="5"/>
      <c r="C28" s="13">
        <f>C26/C27</f>
        <v>2.5190677966101696</v>
      </c>
      <c r="D28" s="13"/>
      <c r="E28" s="13">
        <f>E26/E27</f>
        <v>1.7372881355932204</v>
      </c>
    </row>
    <row r="29" spans="1:11" x14ac:dyDescent="0.25">
      <c r="A29" t="s">
        <v>152</v>
      </c>
      <c r="C29" s="101">
        <v>1</v>
      </c>
      <c r="D29" s="101"/>
      <c r="E29" s="101">
        <v>2</v>
      </c>
      <c r="H29" s="104" t="s">
        <v>92</v>
      </c>
      <c r="I29" s="91"/>
      <c r="J29" s="91"/>
      <c r="K29" s="91"/>
    </row>
    <row r="30" spans="1:11" x14ac:dyDescent="0.25">
      <c r="H30" s="92" t="s">
        <v>209</v>
      </c>
      <c r="I30" s="93">
        <f>+I22</f>
        <v>144000</v>
      </c>
      <c r="J30" s="93">
        <f>+J22</f>
        <v>870</v>
      </c>
      <c r="K30" s="94">
        <f>I30*J30</f>
        <v>125280000</v>
      </c>
    </row>
    <row r="31" spans="1:11" x14ac:dyDescent="0.25">
      <c r="A31" s="65" t="s">
        <v>190</v>
      </c>
      <c r="H31" s="92" t="s">
        <v>210</v>
      </c>
      <c r="I31" s="93">
        <f>+I23</f>
        <v>13000</v>
      </c>
      <c r="J31" s="93">
        <f>+J23</f>
        <v>450</v>
      </c>
      <c r="K31" s="99">
        <f>I31*J31</f>
        <v>5850000</v>
      </c>
    </row>
    <row r="32" spans="1:11" x14ac:dyDescent="0.25">
      <c r="A32" s="1" t="s">
        <v>129</v>
      </c>
      <c r="B32" s="7" t="s">
        <v>156</v>
      </c>
      <c r="C32" s="7" t="s">
        <v>214</v>
      </c>
      <c r="D32" s="39" t="s">
        <v>215</v>
      </c>
      <c r="H32" s="91" t="s">
        <v>100</v>
      </c>
      <c r="I32" s="91"/>
      <c r="J32" s="91"/>
      <c r="K32" s="93">
        <f>SUM(K30:K31)</f>
        <v>131130000</v>
      </c>
    </row>
    <row r="33" spans="1:11" x14ac:dyDescent="0.25">
      <c r="A33" s="87" t="s">
        <v>209</v>
      </c>
      <c r="B33" s="2">
        <v>144000</v>
      </c>
      <c r="C33" s="4">
        <v>1.2</v>
      </c>
      <c r="D33" s="2">
        <f>B33*C33</f>
        <v>172800</v>
      </c>
      <c r="H33" s="33" t="s">
        <v>222</v>
      </c>
      <c r="I33" s="33"/>
      <c r="J33" s="33"/>
      <c r="K33" s="35">
        <f>-D41</f>
        <v>-53100000</v>
      </c>
    </row>
    <row r="34" spans="1:11" ht="15.75" thickBot="1" x14ac:dyDescent="0.3">
      <c r="A34" s="87" t="s">
        <v>210</v>
      </c>
      <c r="B34" s="2">
        <f>D34/C34</f>
        <v>13000</v>
      </c>
      <c r="C34" s="2">
        <v>0.9</v>
      </c>
      <c r="D34" s="4">
        <f>D35-D33</f>
        <v>11700</v>
      </c>
      <c r="H34" s="102" t="s">
        <v>88</v>
      </c>
      <c r="I34" s="102"/>
      <c r="J34" s="102"/>
      <c r="K34" s="103">
        <f>SUM(K32:K33)</f>
        <v>78030000</v>
      </c>
    </row>
    <row r="35" spans="1:11" ht="16.5" thickTop="1" thickBot="1" x14ac:dyDescent="0.3">
      <c r="D35" s="83">
        <f>3075*60</f>
        <v>184500</v>
      </c>
      <c r="H35" s="91"/>
      <c r="I35" s="91"/>
      <c r="J35" s="91"/>
      <c r="K35" s="91"/>
    </row>
    <row r="36" spans="1:11" ht="15.75" thickTop="1" x14ac:dyDescent="0.25"/>
    <row r="37" spans="1:11" x14ac:dyDescent="0.25">
      <c r="A37" s="108" t="s">
        <v>196</v>
      </c>
      <c r="B37" s="88"/>
      <c r="C37" s="88"/>
      <c r="D37" s="88"/>
    </row>
    <row r="38" spans="1:11" x14ac:dyDescent="0.25">
      <c r="A38" s="88" t="s">
        <v>222</v>
      </c>
      <c r="B38" s="88"/>
      <c r="C38" s="88"/>
      <c r="D38" s="88"/>
      <c r="G38" t="s">
        <v>209</v>
      </c>
      <c r="H38" s="2">
        <v>120000</v>
      </c>
      <c r="I38">
        <v>1.2</v>
      </c>
      <c r="J38" s="4">
        <f>H38*I38</f>
        <v>144000</v>
      </c>
    </row>
    <row r="39" spans="1:11" x14ac:dyDescent="0.25">
      <c r="A39" s="105" t="s">
        <v>209</v>
      </c>
      <c r="B39" s="89">
        <v>120000</v>
      </c>
      <c r="C39" s="89">
        <v>420</v>
      </c>
      <c r="D39" s="106">
        <f>B39*C39</f>
        <v>50400000</v>
      </c>
      <c r="G39" t="s">
        <v>210</v>
      </c>
      <c r="H39" s="2">
        <v>45000</v>
      </c>
      <c r="I39">
        <v>0.9</v>
      </c>
      <c r="J39" s="4">
        <f>H39*I39</f>
        <v>40500</v>
      </c>
    </row>
    <row r="40" spans="1:11" x14ac:dyDescent="0.25">
      <c r="A40" s="105" t="s">
        <v>210</v>
      </c>
      <c r="B40" s="89">
        <v>45000</v>
      </c>
      <c r="C40" s="89">
        <v>60</v>
      </c>
      <c r="D40" s="106">
        <f>B40*C40</f>
        <v>2700000</v>
      </c>
      <c r="G40" t="s">
        <v>223</v>
      </c>
      <c r="J40" s="4">
        <f>SUM(J38:J39)</f>
        <v>184500</v>
      </c>
    </row>
    <row r="41" spans="1:11" x14ac:dyDescent="0.25">
      <c r="A41" s="88"/>
      <c r="B41" s="88"/>
      <c r="C41" s="88"/>
      <c r="D41" s="107">
        <f>SUM(D39:D40)</f>
        <v>53100000</v>
      </c>
      <c r="G41" t="s">
        <v>224</v>
      </c>
      <c r="J41" s="2">
        <v>184500</v>
      </c>
    </row>
    <row r="42" spans="1:11" x14ac:dyDescent="0.25">
      <c r="A42" s="88" t="s">
        <v>225</v>
      </c>
      <c r="B42" s="88"/>
      <c r="C42" s="88"/>
      <c r="D42" s="107">
        <f>+D18</f>
        <v>184500</v>
      </c>
      <c r="H42" s="15" t="s">
        <v>226</v>
      </c>
    </row>
    <row r="43" spans="1:11" x14ac:dyDescent="0.25">
      <c r="A43" s="88" t="s">
        <v>148</v>
      </c>
      <c r="B43" s="88"/>
      <c r="C43" s="88"/>
      <c r="D43" s="88">
        <f>D41/D42</f>
        <v>287.80487804878049</v>
      </c>
      <c r="H43" s="15" t="s">
        <v>227</v>
      </c>
    </row>
    <row r="44" spans="1:11" x14ac:dyDescent="0.25">
      <c r="A44" s="88"/>
      <c r="B44" s="88"/>
      <c r="C44" s="88"/>
      <c r="D44" s="88"/>
      <c r="H44" s="15" t="s">
        <v>228</v>
      </c>
    </row>
    <row r="46" spans="1:11" x14ac:dyDescent="0.25">
      <c r="A46" s="108" t="s">
        <v>196</v>
      </c>
      <c r="B46" s="88"/>
      <c r="C46" s="88"/>
      <c r="D46" s="88"/>
    </row>
    <row r="47" spans="1:11" x14ac:dyDescent="0.25">
      <c r="A47" s="88" t="s">
        <v>222</v>
      </c>
      <c r="B47" s="88"/>
      <c r="C47" s="88"/>
      <c r="D47" s="88"/>
    </row>
    <row r="48" spans="1:11" x14ac:dyDescent="0.25">
      <c r="A48" s="105" t="s">
        <v>209</v>
      </c>
      <c r="B48" s="89">
        <f>+B33</f>
        <v>144000</v>
      </c>
      <c r="C48" s="89">
        <v>420</v>
      </c>
      <c r="D48" s="106">
        <f>B48*C48</f>
        <v>60480000</v>
      </c>
    </row>
    <row r="49" spans="1:4" x14ac:dyDescent="0.25">
      <c r="A49" s="105" t="s">
        <v>210</v>
      </c>
      <c r="B49" s="89">
        <f>+B34</f>
        <v>13000</v>
      </c>
      <c r="C49" s="89">
        <v>60</v>
      </c>
      <c r="D49" s="106">
        <f>B49*C49</f>
        <v>780000</v>
      </c>
    </row>
    <row r="50" spans="1:4" x14ac:dyDescent="0.25">
      <c r="A50" s="88"/>
      <c r="B50" s="88"/>
      <c r="C50" s="88"/>
      <c r="D50" s="107">
        <f>SUM(D48:D49)</f>
        <v>61260000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>
      <selection activeCell="A22" sqref="A22"/>
    </sheetView>
  </sheetViews>
  <sheetFormatPr defaultRowHeight="15" x14ac:dyDescent="0.25"/>
  <cols>
    <col min="1" max="1" width="27.42578125" bestFit="1" customWidth="1"/>
    <col min="2" max="2" width="14.28515625" bestFit="1" customWidth="1"/>
    <col min="3" max="4" width="13.28515625" bestFit="1" customWidth="1"/>
    <col min="8" max="8" width="13.28515625" bestFit="1" customWidth="1"/>
  </cols>
  <sheetData>
    <row r="2" spans="1:9" x14ac:dyDescent="0.25">
      <c r="A2" s="1" t="s">
        <v>9</v>
      </c>
    </row>
    <row r="4" spans="1:9" x14ac:dyDescent="0.25">
      <c r="A4" s="1" t="s">
        <v>10</v>
      </c>
    </row>
    <row r="6" spans="1:9" x14ac:dyDescent="0.25">
      <c r="A6" s="1" t="s">
        <v>11</v>
      </c>
      <c r="D6" s="7" t="s">
        <v>25</v>
      </c>
    </row>
    <row r="7" spans="1:9" x14ac:dyDescent="0.25">
      <c r="A7" t="s">
        <v>22</v>
      </c>
      <c r="D7" s="2">
        <v>60000</v>
      </c>
    </row>
    <row r="9" spans="1:9" x14ac:dyDescent="0.25">
      <c r="A9" s="1" t="s">
        <v>12</v>
      </c>
      <c r="F9" t="s">
        <v>26</v>
      </c>
    </row>
    <row r="10" spans="1:9" x14ac:dyDescent="0.25">
      <c r="A10" t="s">
        <v>28</v>
      </c>
      <c r="B10" t="s">
        <v>21</v>
      </c>
      <c r="D10" s="2">
        <f>400*30</f>
        <v>12000</v>
      </c>
      <c r="H10" s="4">
        <f>SUM(D7:D10)</f>
        <v>72000</v>
      </c>
      <c r="I10" s="8">
        <f>H10/D19</f>
        <v>2.9149797570850202E-2</v>
      </c>
    </row>
    <row r="12" spans="1:9" x14ac:dyDescent="0.25">
      <c r="A12" s="1" t="s">
        <v>13</v>
      </c>
    </row>
    <row r="13" spans="1:9" x14ac:dyDescent="0.25">
      <c r="A13" t="s">
        <v>15</v>
      </c>
      <c r="B13" t="s">
        <v>16</v>
      </c>
      <c r="C13" s="2">
        <f>800*380</f>
        <v>304000</v>
      </c>
    </row>
    <row r="14" spans="1:9" x14ac:dyDescent="0.25">
      <c r="A14" t="s">
        <v>23</v>
      </c>
      <c r="C14" s="3">
        <v>375000</v>
      </c>
      <c r="D14" s="4">
        <f>SUM(C13:C14)</f>
        <v>679000</v>
      </c>
    </row>
    <row r="16" spans="1:9" x14ac:dyDescent="0.25">
      <c r="A16" s="1" t="s">
        <v>14</v>
      </c>
      <c r="F16" t="s">
        <v>27</v>
      </c>
    </row>
    <row r="17" spans="1:9" x14ac:dyDescent="0.25">
      <c r="A17" t="s">
        <v>17</v>
      </c>
      <c r="B17" t="s">
        <v>18</v>
      </c>
      <c r="C17" s="2">
        <f>650*2600</f>
        <v>1690000</v>
      </c>
      <c r="H17" s="4">
        <f>SUM(D14:D18)</f>
        <v>2398000</v>
      </c>
      <c r="I17" s="8">
        <f>+H17/D19</f>
        <v>0.97085020242914977</v>
      </c>
    </row>
    <row r="18" spans="1:9" x14ac:dyDescent="0.25">
      <c r="A18" t="s">
        <v>19</v>
      </c>
      <c r="B18" t="s">
        <v>20</v>
      </c>
      <c r="C18" s="3">
        <f>500*58</f>
        <v>29000</v>
      </c>
      <c r="D18" s="4">
        <f>SUM(C17:C18)</f>
        <v>1719000</v>
      </c>
    </row>
    <row r="19" spans="1:9" ht="15.75" thickBot="1" x14ac:dyDescent="0.3">
      <c r="A19" s="5" t="s">
        <v>24</v>
      </c>
      <c r="B19" s="5"/>
      <c r="C19" s="5"/>
      <c r="D19" s="6">
        <f>SUM(D7:D18)</f>
        <v>2470000</v>
      </c>
    </row>
    <row r="20" spans="1:9" ht="15.75" thickTop="1" x14ac:dyDescent="0.25"/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workbookViewId="0">
      <selection activeCell="H22" sqref="H22"/>
    </sheetView>
  </sheetViews>
  <sheetFormatPr defaultRowHeight="15" x14ac:dyDescent="0.25"/>
  <cols>
    <col min="1" max="1" width="42.85546875" bestFit="1" customWidth="1"/>
    <col min="3" max="3" width="13.28515625" bestFit="1" customWidth="1"/>
    <col min="5" max="5" width="15.7109375" bestFit="1" customWidth="1"/>
    <col min="6" max="6" width="12.28515625" bestFit="1" customWidth="1"/>
  </cols>
  <sheetData>
    <row r="2" spans="1:5" x14ac:dyDescent="0.25">
      <c r="A2" s="1" t="s">
        <v>29</v>
      </c>
    </row>
    <row r="5" spans="1:5" x14ac:dyDescent="0.25">
      <c r="C5" s="9" t="s">
        <v>30</v>
      </c>
      <c r="D5" s="9"/>
      <c r="E5" s="9" t="s">
        <v>31</v>
      </c>
    </row>
    <row r="6" spans="1:5" ht="17.25" x14ac:dyDescent="0.4">
      <c r="A6" t="s">
        <v>32</v>
      </c>
      <c r="C6" s="10">
        <v>12000</v>
      </c>
      <c r="D6" s="10"/>
      <c r="E6" s="10">
        <v>7200</v>
      </c>
    </row>
    <row r="8" spans="1:5" x14ac:dyDescent="0.25">
      <c r="A8" t="s">
        <v>33</v>
      </c>
      <c r="C8" s="2">
        <v>75</v>
      </c>
      <c r="D8" s="2"/>
      <c r="E8" s="2">
        <v>90</v>
      </c>
    </row>
    <row r="9" spans="1:5" x14ac:dyDescent="0.25">
      <c r="A9" s="1" t="s">
        <v>34</v>
      </c>
      <c r="C9" s="2"/>
      <c r="D9" s="2"/>
      <c r="E9" s="2"/>
    </row>
    <row r="10" spans="1:5" x14ac:dyDescent="0.25">
      <c r="A10" t="s">
        <v>35</v>
      </c>
      <c r="B10" s="2">
        <v>20</v>
      </c>
      <c r="C10" s="2"/>
      <c r="D10" s="2">
        <v>20</v>
      </c>
      <c r="E10" s="2"/>
    </row>
    <row r="11" spans="1:5" x14ac:dyDescent="0.25">
      <c r="A11" t="s">
        <v>36</v>
      </c>
      <c r="B11" s="2"/>
      <c r="C11" s="2"/>
      <c r="D11" s="2"/>
      <c r="E11" s="2"/>
    </row>
    <row r="12" spans="1:5" x14ac:dyDescent="0.25">
      <c r="A12" s="11" t="s">
        <v>37</v>
      </c>
      <c r="B12" s="2">
        <v>20</v>
      </c>
      <c r="C12" s="2"/>
      <c r="D12" s="2">
        <v>28</v>
      </c>
      <c r="E12" s="2"/>
    </row>
    <row r="13" spans="1:5" x14ac:dyDescent="0.25">
      <c r="A13" s="11" t="s">
        <v>38</v>
      </c>
      <c r="B13" s="3">
        <v>12</v>
      </c>
      <c r="C13" s="3">
        <f>-SUM(B10:B13)</f>
        <v>-52</v>
      </c>
      <c r="D13" s="3">
        <v>24</v>
      </c>
      <c r="E13" s="3">
        <f>-SUM(D10:D13)</f>
        <v>-72</v>
      </c>
    </row>
    <row r="14" spans="1:5" x14ac:dyDescent="0.25">
      <c r="A14" s="5" t="s">
        <v>39</v>
      </c>
      <c r="B14" s="5"/>
      <c r="C14" s="13">
        <f>SUM(C8:C13)</f>
        <v>23</v>
      </c>
      <c r="D14" s="14"/>
      <c r="E14" s="13">
        <f>SUM(E8:E13)</f>
        <v>18</v>
      </c>
    </row>
    <row r="15" spans="1:5" x14ac:dyDescent="0.25">
      <c r="A15" t="s">
        <v>40</v>
      </c>
      <c r="B15" t="s">
        <v>41</v>
      </c>
      <c r="C15" s="8">
        <f>C14/C8</f>
        <v>0.30666666666666664</v>
      </c>
      <c r="D15" s="12" t="s">
        <v>42</v>
      </c>
      <c r="E15" s="8">
        <f>E14/E8</f>
        <v>0.2</v>
      </c>
    </row>
    <row r="16" spans="1:5" x14ac:dyDescent="0.25">
      <c r="A16" t="s">
        <v>60</v>
      </c>
      <c r="C16" s="8">
        <v>0.25</v>
      </c>
      <c r="D16" s="2"/>
      <c r="E16" s="8">
        <v>0.25</v>
      </c>
    </row>
    <row r="17" spans="1:6" x14ac:dyDescent="0.25">
      <c r="A17" s="15" t="s">
        <v>43</v>
      </c>
      <c r="C17" s="16" t="s">
        <v>44</v>
      </c>
      <c r="D17" s="17"/>
      <c r="E17" s="16" t="s">
        <v>45</v>
      </c>
    </row>
    <row r="18" spans="1:6" x14ac:dyDescent="0.25">
      <c r="C18" s="2"/>
      <c r="D18" s="2"/>
      <c r="E18" s="2"/>
    </row>
    <row r="19" spans="1:6" x14ac:dyDescent="0.25">
      <c r="A19" s="1" t="s">
        <v>46</v>
      </c>
      <c r="C19" s="2"/>
      <c r="D19" s="2"/>
      <c r="E19" s="2"/>
    </row>
    <row r="20" spans="1:6" x14ac:dyDescent="0.25">
      <c r="C20" s="18" t="s">
        <v>30</v>
      </c>
      <c r="D20" s="18"/>
      <c r="E20" s="18" t="s">
        <v>31</v>
      </c>
      <c r="F20" s="18" t="s">
        <v>50</v>
      </c>
    </row>
    <row r="21" spans="1:6" x14ac:dyDescent="0.25">
      <c r="A21" t="s">
        <v>47</v>
      </c>
      <c r="B21" t="s">
        <v>48</v>
      </c>
      <c r="C21" s="2">
        <f>C6*C14</f>
        <v>276000</v>
      </c>
      <c r="D21" t="s">
        <v>49</v>
      </c>
      <c r="E21" s="2">
        <f>E6*E14</f>
        <v>129600</v>
      </c>
      <c r="F21" s="4">
        <f>C21+E21</f>
        <v>405600</v>
      </c>
    </row>
    <row r="22" spans="1:6" x14ac:dyDescent="0.25">
      <c r="A22" t="s">
        <v>51</v>
      </c>
      <c r="C22" s="3">
        <v>-170000</v>
      </c>
      <c r="D22" s="2"/>
      <c r="E22" s="3">
        <v>-90000</v>
      </c>
      <c r="F22" s="20">
        <f>SUM(C22:E22)</f>
        <v>-260000</v>
      </c>
    </row>
    <row r="23" spans="1:6" x14ac:dyDescent="0.25">
      <c r="C23" s="4">
        <f>SUM(C21:C22)</f>
        <v>106000</v>
      </c>
      <c r="E23" s="4">
        <f>SUM(E21:E22)</f>
        <v>39600</v>
      </c>
      <c r="F23" s="4">
        <f>SUM(F21:F22)</f>
        <v>145600</v>
      </c>
    </row>
    <row r="24" spans="1:6" x14ac:dyDescent="0.25">
      <c r="A24" t="s">
        <v>52</v>
      </c>
      <c r="F24" s="3">
        <v>-50000</v>
      </c>
    </row>
    <row r="25" spans="1:6" ht="15.75" thickBot="1" x14ac:dyDescent="0.3">
      <c r="A25" t="s">
        <v>53</v>
      </c>
      <c r="F25" s="21">
        <f>SUM(F23:F24)</f>
        <v>95600</v>
      </c>
    </row>
    <row r="26" spans="1:6" ht="15.75" thickTop="1" x14ac:dyDescent="0.25">
      <c r="A26" s="5" t="s">
        <v>54</v>
      </c>
      <c r="B26" s="5"/>
      <c r="C26" s="5"/>
      <c r="D26" s="5"/>
      <c r="E26" s="5" t="s">
        <v>58</v>
      </c>
      <c r="F26" s="19">
        <f>95600/1548000</f>
        <v>6.1757105943152452E-2</v>
      </c>
    </row>
    <row r="27" spans="1:6" x14ac:dyDescent="0.25">
      <c r="A27" t="s">
        <v>59</v>
      </c>
      <c r="F27" s="22">
        <v>0.12</v>
      </c>
    </row>
    <row r="29" spans="1:6" x14ac:dyDescent="0.25">
      <c r="A29" t="s">
        <v>55</v>
      </c>
    </row>
    <row r="30" spans="1:6" x14ac:dyDescent="0.25">
      <c r="A30" t="s">
        <v>30</v>
      </c>
      <c r="B30" t="s">
        <v>56</v>
      </c>
      <c r="C30" s="2">
        <f>12000*75</f>
        <v>900000</v>
      </c>
    </row>
    <row r="31" spans="1:6" x14ac:dyDescent="0.25">
      <c r="A31" t="s">
        <v>31</v>
      </c>
      <c r="B31" t="s">
        <v>57</v>
      </c>
      <c r="C31" s="2">
        <f>7200*90</f>
        <v>648000</v>
      </c>
    </row>
    <row r="32" spans="1:6" x14ac:dyDescent="0.25">
      <c r="C32" s="4">
        <f>SUM(C30:C31)</f>
        <v>1548000</v>
      </c>
    </row>
  </sheetData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K22" sqref="K22"/>
    </sheetView>
  </sheetViews>
  <sheetFormatPr defaultRowHeight="15" x14ac:dyDescent="0.25"/>
  <cols>
    <col min="1" max="1" width="29.85546875" bestFit="1" customWidth="1"/>
    <col min="2" max="2" width="11.5703125" bestFit="1" customWidth="1"/>
    <col min="4" max="4" width="13.28515625" bestFit="1" customWidth="1"/>
    <col min="5" max="5" width="14.28515625" style="2" bestFit="1" customWidth="1"/>
  </cols>
  <sheetData>
    <row r="2" spans="1:5" x14ac:dyDescent="0.25">
      <c r="A2" s="1" t="s">
        <v>61</v>
      </c>
    </row>
    <row r="4" spans="1:5" x14ac:dyDescent="0.25">
      <c r="A4" t="s">
        <v>62</v>
      </c>
      <c r="E4" s="2">
        <v>10000000</v>
      </c>
    </row>
    <row r="5" spans="1:5" x14ac:dyDescent="0.25">
      <c r="A5" t="s">
        <v>63</v>
      </c>
    </row>
    <row r="6" spans="1:5" x14ac:dyDescent="0.25">
      <c r="A6" s="23" t="s">
        <v>64</v>
      </c>
      <c r="B6" s="2">
        <v>30000</v>
      </c>
      <c r="C6" s="2">
        <v>50</v>
      </c>
      <c r="D6" s="2">
        <f>B6*C6</f>
        <v>1500000</v>
      </c>
    </row>
    <row r="7" spans="1:5" x14ac:dyDescent="0.25">
      <c r="A7" s="23" t="s">
        <v>65</v>
      </c>
      <c r="B7" s="2">
        <v>80000</v>
      </c>
      <c r="C7" s="2">
        <v>45</v>
      </c>
      <c r="D7" s="2">
        <f t="shared" ref="D7:D8" si="0">B7*C7</f>
        <v>3600000</v>
      </c>
    </row>
    <row r="8" spans="1:5" x14ac:dyDescent="0.25">
      <c r="A8" s="23" t="s">
        <v>66</v>
      </c>
      <c r="B8" s="3">
        <v>40000</v>
      </c>
      <c r="C8" s="2">
        <v>40</v>
      </c>
      <c r="D8" s="3">
        <f t="shared" si="0"/>
        <v>1600000</v>
      </c>
    </row>
    <row r="9" spans="1:5" x14ac:dyDescent="0.25">
      <c r="B9" s="2">
        <f>SUM(B6:B8)</f>
        <v>150000</v>
      </c>
      <c r="E9" s="2">
        <f>SUM(D6:D8)</f>
        <v>6700000</v>
      </c>
    </row>
    <row r="10" spans="1:5" x14ac:dyDescent="0.25">
      <c r="A10" s="24" t="s">
        <v>67</v>
      </c>
      <c r="B10" t="s">
        <v>68</v>
      </c>
      <c r="E10" s="2">
        <v>4000000</v>
      </c>
    </row>
    <row r="11" spans="1:5" x14ac:dyDescent="0.25">
      <c r="A11" s="24" t="s">
        <v>69</v>
      </c>
      <c r="E11" s="3">
        <v>2000000</v>
      </c>
    </row>
    <row r="12" spans="1:5" x14ac:dyDescent="0.25">
      <c r="A12" s="1" t="s">
        <v>70</v>
      </c>
      <c r="B12" s="1"/>
      <c r="C12" s="1"/>
      <c r="D12" s="1"/>
      <c r="E12" s="25">
        <f>SUM(E4:E11)</f>
        <v>22700000</v>
      </c>
    </row>
    <row r="13" spans="1:5" x14ac:dyDescent="0.25">
      <c r="A13" t="s">
        <v>71</v>
      </c>
      <c r="E13" s="2">
        <f>+B9</f>
        <v>150000</v>
      </c>
    </row>
    <row r="14" spans="1:5" ht="15.75" thickBot="1" x14ac:dyDescent="0.3">
      <c r="A14" s="5" t="s">
        <v>72</v>
      </c>
      <c r="B14" s="5"/>
      <c r="C14" s="5"/>
      <c r="D14" s="5"/>
      <c r="E14" s="26">
        <f>E12/E13</f>
        <v>151.33333333333334</v>
      </c>
    </row>
    <row r="15" spans="1:5" ht="15.75" thickTop="1" x14ac:dyDescent="0.25"/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>
      <selection activeCell="D22" sqref="D22"/>
    </sheetView>
  </sheetViews>
  <sheetFormatPr defaultRowHeight="15" x14ac:dyDescent="0.25"/>
  <cols>
    <col min="1" max="1" width="24.28515625" bestFit="1" customWidth="1"/>
  </cols>
  <sheetData>
    <row r="2" spans="1:9" x14ac:dyDescent="0.25">
      <c r="A2" s="1" t="s">
        <v>73</v>
      </c>
    </row>
    <row r="3" spans="1:9" x14ac:dyDescent="0.25">
      <c r="E3" s="27" t="s">
        <v>75</v>
      </c>
    </row>
    <row r="4" spans="1:9" x14ac:dyDescent="0.25">
      <c r="A4" t="s">
        <v>74</v>
      </c>
      <c r="E4" s="2">
        <v>20</v>
      </c>
    </row>
    <row r="5" spans="1:9" x14ac:dyDescent="0.25">
      <c r="A5" t="s">
        <v>76</v>
      </c>
      <c r="B5" t="s">
        <v>77</v>
      </c>
      <c r="E5" s="2">
        <f>5+4+3+0.9</f>
        <v>12.9</v>
      </c>
      <c r="H5" t="s">
        <v>83</v>
      </c>
      <c r="I5" s="2">
        <v>8</v>
      </c>
    </row>
    <row r="6" spans="1:9" x14ac:dyDescent="0.25">
      <c r="A6" s="1" t="s">
        <v>78</v>
      </c>
      <c r="H6" t="s">
        <v>84</v>
      </c>
      <c r="I6" s="2">
        <v>11</v>
      </c>
    </row>
    <row r="7" spans="1:9" x14ac:dyDescent="0.25">
      <c r="A7" s="11" t="s">
        <v>64</v>
      </c>
      <c r="B7" s="2">
        <v>1</v>
      </c>
      <c r="C7" s="2">
        <v>1</v>
      </c>
      <c r="D7" s="2">
        <f>B7*C7</f>
        <v>1</v>
      </c>
    </row>
    <row r="8" spans="1:9" x14ac:dyDescent="0.25">
      <c r="A8" s="11" t="s">
        <v>65</v>
      </c>
      <c r="B8" s="2">
        <v>5</v>
      </c>
      <c r="C8" s="2">
        <v>0.9</v>
      </c>
      <c r="D8" s="2">
        <f t="shared" ref="D8:D10" si="0">B8*C8</f>
        <v>4.5</v>
      </c>
      <c r="H8" t="s">
        <v>85</v>
      </c>
      <c r="I8" s="2">
        <v>2.5</v>
      </c>
    </row>
    <row r="9" spans="1:9" x14ac:dyDescent="0.25">
      <c r="A9" s="11" t="s">
        <v>66</v>
      </c>
      <c r="B9" s="2">
        <v>10</v>
      </c>
      <c r="C9" s="2">
        <v>0.8</v>
      </c>
      <c r="D9" s="2">
        <f t="shared" si="0"/>
        <v>8</v>
      </c>
    </row>
    <row r="10" spans="1:9" x14ac:dyDescent="0.25">
      <c r="A10" s="11" t="s">
        <v>79</v>
      </c>
      <c r="B10" s="3">
        <v>4</v>
      </c>
      <c r="C10" s="2">
        <v>0.9</v>
      </c>
      <c r="D10" s="3">
        <f t="shared" si="0"/>
        <v>3.6</v>
      </c>
    </row>
    <row r="11" spans="1:9" x14ac:dyDescent="0.25">
      <c r="B11" s="2">
        <f>SUM(B7:B10)</f>
        <v>20</v>
      </c>
      <c r="E11" s="20">
        <f>SUM(D7:D10)</f>
        <v>17.100000000000001</v>
      </c>
    </row>
    <row r="12" spans="1:9" x14ac:dyDescent="0.25">
      <c r="A12" s="28" t="s">
        <v>70</v>
      </c>
      <c r="E12" s="29">
        <f>SUM(E4:E11)</f>
        <v>50</v>
      </c>
    </row>
    <row r="13" spans="1:9" x14ac:dyDescent="0.25">
      <c r="A13" s="28" t="s">
        <v>80</v>
      </c>
      <c r="E13" s="4">
        <f>+B11</f>
        <v>20</v>
      </c>
    </row>
    <row r="14" spans="1:9" ht="15.75" thickBot="1" x14ac:dyDescent="0.3">
      <c r="A14" s="5" t="s">
        <v>81</v>
      </c>
      <c r="B14" s="5"/>
      <c r="C14" s="5"/>
      <c r="D14" s="5" t="s">
        <v>82</v>
      </c>
      <c r="E14" s="30">
        <f>E12/E13</f>
        <v>2.5</v>
      </c>
      <c r="F14" s="1"/>
    </row>
    <row r="15" spans="1:9" ht="15.75" thickTop="1" x14ac:dyDescent="0.25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9"/>
  <sheetViews>
    <sheetView workbookViewId="0">
      <selection activeCell="E22" sqref="E22"/>
    </sheetView>
  </sheetViews>
  <sheetFormatPr defaultRowHeight="15" x14ac:dyDescent="0.25"/>
  <cols>
    <col min="1" max="1" width="33.42578125" bestFit="1" customWidth="1"/>
    <col min="2" max="2" width="12.28515625" bestFit="1" customWidth="1"/>
    <col min="3" max="3" width="24" customWidth="1"/>
    <col min="7" max="7" width="12.7109375" bestFit="1" customWidth="1"/>
    <col min="8" max="8" width="12.140625" bestFit="1" customWidth="1"/>
    <col min="10" max="10" width="15.5703125" bestFit="1" customWidth="1"/>
    <col min="12" max="12" width="12.42578125" bestFit="1" customWidth="1"/>
  </cols>
  <sheetData>
    <row r="3" spans="1:12" x14ac:dyDescent="0.25">
      <c r="A3" t="s">
        <v>87</v>
      </c>
      <c r="B3" t="s">
        <v>88</v>
      </c>
      <c r="C3" t="s">
        <v>89</v>
      </c>
      <c r="H3" t="s">
        <v>86</v>
      </c>
      <c r="J3" s="33" t="s">
        <v>108</v>
      </c>
      <c r="L3" t="s">
        <v>109</v>
      </c>
    </row>
    <row r="4" spans="1:12" x14ac:dyDescent="0.25">
      <c r="A4" t="s">
        <v>90</v>
      </c>
      <c r="B4" t="s">
        <v>39</v>
      </c>
      <c r="C4" t="s">
        <v>91</v>
      </c>
      <c r="G4" t="s">
        <v>106</v>
      </c>
      <c r="J4" s="34"/>
    </row>
    <row r="5" spans="1:12" x14ac:dyDescent="0.25">
      <c r="A5" s="15" t="s">
        <v>94</v>
      </c>
      <c r="B5" s="15" t="s">
        <v>92</v>
      </c>
      <c r="C5" s="15" t="s">
        <v>93</v>
      </c>
      <c r="G5" t="s">
        <v>102</v>
      </c>
      <c r="H5" s="2">
        <v>90</v>
      </c>
      <c r="J5" s="34">
        <v>90</v>
      </c>
      <c r="L5" t="s">
        <v>110</v>
      </c>
    </row>
    <row r="6" spans="1:12" x14ac:dyDescent="0.25">
      <c r="G6" t="s">
        <v>103</v>
      </c>
      <c r="H6" s="2">
        <v>30</v>
      </c>
      <c r="I6" t="s">
        <v>105</v>
      </c>
      <c r="J6" s="33"/>
      <c r="L6" t="s">
        <v>111</v>
      </c>
    </row>
    <row r="7" spans="1:12" x14ac:dyDescent="0.25">
      <c r="A7" t="s">
        <v>95</v>
      </c>
      <c r="G7" t="s">
        <v>104</v>
      </c>
      <c r="H7" s="2">
        <v>30</v>
      </c>
      <c r="I7" t="s">
        <v>105</v>
      </c>
      <c r="J7" s="33"/>
      <c r="L7" t="s">
        <v>107</v>
      </c>
    </row>
    <row r="8" spans="1:12" x14ac:dyDescent="0.25">
      <c r="H8" s="2">
        <f>SUM(H5:H7)</f>
        <v>150</v>
      </c>
      <c r="J8" s="35"/>
      <c r="L8" t="s">
        <v>112</v>
      </c>
    </row>
    <row r="9" spans="1:12" x14ac:dyDescent="0.25">
      <c r="A9" t="s">
        <v>96</v>
      </c>
      <c r="B9" s="31" t="s">
        <v>97</v>
      </c>
      <c r="C9" s="32" t="s">
        <v>98</v>
      </c>
      <c r="G9" t="s">
        <v>107</v>
      </c>
      <c r="H9" s="2">
        <v>50</v>
      </c>
      <c r="J9" s="33"/>
    </row>
    <row r="10" spans="1:12" x14ac:dyDescent="0.25">
      <c r="C10" t="s">
        <v>99</v>
      </c>
      <c r="G10" t="s">
        <v>106</v>
      </c>
      <c r="H10" s="4">
        <f>SUM(H8:H9)</f>
        <v>200</v>
      </c>
      <c r="J10" s="34">
        <v>100</v>
      </c>
    </row>
    <row r="11" spans="1:12" x14ac:dyDescent="0.25">
      <c r="J11" s="33"/>
    </row>
    <row r="12" spans="1:12" x14ac:dyDescent="0.25">
      <c r="A12" t="s">
        <v>98</v>
      </c>
      <c r="B12" s="31" t="s">
        <v>97</v>
      </c>
      <c r="C12" s="32" t="s">
        <v>100</v>
      </c>
    </row>
    <row r="13" spans="1:12" x14ac:dyDescent="0.25">
      <c r="C13" t="s">
        <v>101</v>
      </c>
    </row>
    <row r="16" spans="1:12" x14ac:dyDescent="0.25">
      <c r="A16" s="1" t="s">
        <v>113</v>
      </c>
    </row>
    <row r="18" spans="1:3" x14ac:dyDescent="0.25">
      <c r="A18" t="s">
        <v>115</v>
      </c>
      <c r="B18" s="27" t="s">
        <v>116</v>
      </c>
    </row>
    <row r="19" spans="1:3" x14ac:dyDescent="0.25">
      <c r="A19" t="s">
        <v>114</v>
      </c>
      <c r="B19" s="2">
        <v>85</v>
      </c>
    </row>
    <row r="20" spans="1:3" x14ac:dyDescent="0.25">
      <c r="A20" t="s">
        <v>111</v>
      </c>
      <c r="B20" s="2">
        <v>-42.5</v>
      </c>
    </row>
    <row r="21" spans="1:3" x14ac:dyDescent="0.25">
      <c r="A21" t="s">
        <v>117</v>
      </c>
      <c r="B21" s="2">
        <f>SUM(B19:B20)</f>
        <v>42.5</v>
      </c>
    </row>
    <row r="22" spans="1:3" x14ac:dyDescent="0.25">
      <c r="A22" t="s">
        <v>118</v>
      </c>
      <c r="B22" s="2">
        <v>1.5</v>
      </c>
    </row>
    <row r="23" spans="1:3" ht="15.75" thickBot="1" x14ac:dyDescent="0.3">
      <c r="A23" s="5" t="s">
        <v>119</v>
      </c>
      <c r="B23" s="30">
        <f>B21/B22</f>
        <v>28.333333333333332</v>
      </c>
      <c r="C23" t="s">
        <v>120</v>
      </c>
    </row>
    <row r="24" spans="1:3" ht="15.75" thickTop="1" x14ac:dyDescent="0.25"/>
    <row r="26" spans="1:3" x14ac:dyDescent="0.25">
      <c r="A26" t="s">
        <v>121</v>
      </c>
    </row>
    <row r="27" spans="1:3" x14ac:dyDescent="0.25">
      <c r="A27" t="s">
        <v>96</v>
      </c>
      <c r="B27" s="31" t="s">
        <v>97</v>
      </c>
      <c r="C27" s="32" t="s">
        <v>122</v>
      </c>
    </row>
    <row r="28" spans="1:3" x14ac:dyDescent="0.25">
      <c r="C28" t="s">
        <v>123</v>
      </c>
    </row>
    <row r="30" spans="1:3" x14ac:dyDescent="0.25">
      <c r="B30" s="31" t="s">
        <v>97</v>
      </c>
      <c r="C30" s="20">
        <f>+B23</f>
        <v>28.333333333333332</v>
      </c>
    </row>
    <row r="31" spans="1:3" x14ac:dyDescent="0.25">
      <c r="C31" s="4">
        <f>+B39</f>
        <v>20</v>
      </c>
    </row>
    <row r="33" spans="1:3" ht="15.75" thickBot="1" x14ac:dyDescent="0.3">
      <c r="B33" s="31" t="s">
        <v>97</v>
      </c>
      <c r="C33" s="37">
        <f>C30/C31</f>
        <v>1.4166666666666665</v>
      </c>
    </row>
    <row r="34" spans="1:3" ht="15.75" thickTop="1" x14ac:dyDescent="0.25"/>
    <row r="36" spans="1:3" x14ac:dyDescent="0.25">
      <c r="A36" s="36" t="s">
        <v>123</v>
      </c>
    </row>
    <row r="37" spans="1:3" x14ac:dyDescent="0.25">
      <c r="A37" t="s">
        <v>124</v>
      </c>
      <c r="B37" s="2">
        <v>8000</v>
      </c>
    </row>
    <row r="38" spans="1:3" x14ac:dyDescent="0.25">
      <c r="A38" t="s">
        <v>125</v>
      </c>
      <c r="B38" s="2">
        <f>40*10</f>
        <v>400</v>
      </c>
      <c r="C38" t="s">
        <v>126</v>
      </c>
    </row>
    <row r="39" spans="1:3" x14ac:dyDescent="0.25">
      <c r="A39" t="s">
        <v>123</v>
      </c>
      <c r="B39" s="2">
        <f>B37/B38</f>
        <v>20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1"/>
  <sheetViews>
    <sheetView workbookViewId="0">
      <selection activeCell="G21" sqref="G21"/>
    </sheetView>
  </sheetViews>
  <sheetFormatPr defaultRowHeight="15" x14ac:dyDescent="0.25"/>
  <cols>
    <col min="1" max="1" width="34.85546875" customWidth="1"/>
    <col min="2" max="2" width="15.5703125" customWidth="1"/>
    <col min="3" max="3" width="11.5703125" bestFit="1" customWidth="1"/>
    <col min="4" max="4" width="14.28515625" customWidth="1"/>
    <col min="8" max="8" width="10.7109375" bestFit="1" customWidth="1"/>
    <col min="9" max="9" width="17.5703125" customWidth="1"/>
    <col min="10" max="10" width="14" bestFit="1" customWidth="1"/>
    <col min="12" max="12" width="21.85546875" bestFit="1" customWidth="1"/>
    <col min="13" max="13" width="9.5703125" bestFit="1" customWidth="1"/>
    <col min="14" max="14" width="4" bestFit="1" customWidth="1"/>
    <col min="15" max="15" width="14" bestFit="1" customWidth="1"/>
  </cols>
  <sheetData>
    <row r="2" spans="1:6" x14ac:dyDescent="0.25">
      <c r="A2" s="1" t="s">
        <v>127</v>
      </c>
    </row>
    <row r="4" spans="1:6" x14ac:dyDescent="0.25">
      <c r="A4" s="1" t="s">
        <v>128</v>
      </c>
    </row>
    <row r="6" spans="1:6" ht="30" x14ac:dyDescent="0.25">
      <c r="A6" s="1" t="s">
        <v>129</v>
      </c>
      <c r="B6" s="1" t="s">
        <v>134</v>
      </c>
      <c r="C6" s="38" t="s">
        <v>135</v>
      </c>
      <c r="D6" s="39" t="s">
        <v>136</v>
      </c>
    </row>
    <row r="7" spans="1:6" x14ac:dyDescent="0.25">
      <c r="A7" t="s">
        <v>130</v>
      </c>
      <c r="B7" s="2">
        <v>2000</v>
      </c>
      <c r="C7" s="2">
        <v>5</v>
      </c>
      <c r="D7" s="2">
        <f>B7*C7</f>
        <v>10000</v>
      </c>
    </row>
    <row r="8" spans="1:6" x14ac:dyDescent="0.25">
      <c r="A8" t="s">
        <v>131</v>
      </c>
      <c r="B8" s="2">
        <v>2000</v>
      </c>
      <c r="C8" s="2">
        <v>2</v>
      </c>
      <c r="D8" s="2">
        <f t="shared" ref="D8:D10" si="0">B8*C8</f>
        <v>4000</v>
      </c>
    </row>
    <row r="9" spans="1:6" x14ac:dyDescent="0.25">
      <c r="A9" t="s">
        <v>132</v>
      </c>
      <c r="B9" s="2">
        <v>2000</v>
      </c>
      <c r="C9" s="2">
        <v>3</v>
      </c>
      <c r="D9" s="2">
        <f t="shared" si="0"/>
        <v>6000</v>
      </c>
    </row>
    <row r="10" spans="1:6" x14ac:dyDescent="0.25">
      <c r="A10" t="s">
        <v>133</v>
      </c>
      <c r="B10" s="2">
        <v>2000</v>
      </c>
      <c r="C10" s="2">
        <v>6</v>
      </c>
      <c r="D10" s="2">
        <f t="shared" si="0"/>
        <v>12000</v>
      </c>
    </row>
    <row r="11" spans="1:6" x14ac:dyDescent="0.25">
      <c r="A11" t="s">
        <v>137</v>
      </c>
      <c r="D11" s="4">
        <f>SUM(D7:D10)</f>
        <v>32000</v>
      </c>
    </row>
    <row r="12" spans="1:6" x14ac:dyDescent="0.25">
      <c r="A12" t="s">
        <v>138</v>
      </c>
      <c r="D12" s="4">
        <f>400*60</f>
        <v>24000</v>
      </c>
      <c r="E12" t="s">
        <v>139</v>
      </c>
    </row>
    <row r="13" spans="1:6" ht="15.75" thickBot="1" x14ac:dyDescent="0.3">
      <c r="A13" s="5" t="s">
        <v>140</v>
      </c>
      <c r="B13" s="5"/>
      <c r="C13" s="5"/>
      <c r="D13" s="6">
        <f>D11-D12</f>
        <v>8000</v>
      </c>
      <c r="E13">
        <f>8000/60</f>
        <v>133.33333333333334</v>
      </c>
      <c r="F13" t="s">
        <v>141</v>
      </c>
    </row>
    <row r="14" spans="1:6" ht="15.75" thickTop="1" x14ac:dyDescent="0.25"/>
    <row r="16" spans="1:6" x14ac:dyDescent="0.25">
      <c r="A16" s="1" t="s">
        <v>142</v>
      </c>
    </row>
    <row r="18" spans="1:6" x14ac:dyDescent="0.25">
      <c r="B18" s="7" t="s">
        <v>130</v>
      </c>
      <c r="C18" s="7" t="s">
        <v>131</v>
      </c>
      <c r="D18" s="7" t="s">
        <v>132</v>
      </c>
      <c r="E18" s="7" t="s">
        <v>133</v>
      </c>
    </row>
    <row r="19" spans="1:6" x14ac:dyDescent="0.25">
      <c r="A19" t="s">
        <v>33</v>
      </c>
      <c r="B19" s="2">
        <v>280</v>
      </c>
      <c r="C19" s="2">
        <v>160</v>
      </c>
      <c r="D19" s="2">
        <v>240</v>
      </c>
      <c r="E19" s="2">
        <v>560</v>
      </c>
      <c r="F19" s="2"/>
    </row>
    <row r="20" spans="1:6" x14ac:dyDescent="0.25">
      <c r="A20" t="s">
        <v>143</v>
      </c>
      <c r="B20" s="3">
        <v>-120</v>
      </c>
      <c r="C20" s="3">
        <v>-60</v>
      </c>
      <c r="D20" s="3">
        <v>-120</v>
      </c>
      <c r="E20" s="3">
        <v>-200</v>
      </c>
    </row>
    <row r="21" spans="1:6" x14ac:dyDescent="0.25">
      <c r="A21" t="s">
        <v>117</v>
      </c>
      <c r="B21" s="4">
        <f>SUM(B19:B20)</f>
        <v>160</v>
      </c>
      <c r="C21" s="4">
        <f t="shared" ref="C21:E21" si="1">SUM(C19:C20)</f>
        <v>100</v>
      </c>
      <c r="D21" s="4">
        <f t="shared" si="1"/>
        <v>120</v>
      </c>
      <c r="E21" s="4">
        <f t="shared" si="1"/>
        <v>360</v>
      </c>
    </row>
    <row r="22" spans="1:6" x14ac:dyDescent="0.25">
      <c r="A22" t="s">
        <v>144</v>
      </c>
      <c r="B22" s="2">
        <v>5</v>
      </c>
      <c r="C22" s="2">
        <v>2</v>
      </c>
      <c r="D22" s="2">
        <v>3</v>
      </c>
      <c r="E22" s="2">
        <v>6</v>
      </c>
    </row>
    <row r="23" spans="1:6" x14ac:dyDescent="0.25">
      <c r="A23" s="5" t="s">
        <v>145</v>
      </c>
      <c r="B23" s="13">
        <f>B21/B22</f>
        <v>32</v>
      </c>
      <c r="C23" s="13">
        <f t="shared" ref="C23:E23" si="2">C21/C22</f>
        <v>50</v>
      </c>
      <c r="D23" s="13">
        <f t="shared" si="2"/>
        <v>40</v>
      </c>
      <c r="E23" s="13">
        <f t="shared" si="2"/>
        <v>60</v>
      </c>
    </row>
    <row r="25" spans="1:6" x14ac:dyDescent="0.25">
      <c r="A25" s="1" t="s">
        <v>149</v>
      </c>
    </row>
    <row r="26" spans="1:6" x14ac:dyDescent="0.25">
      <c r="A26" t="s">
        <v>146</v>
      </c>
      <c r="B26" s="2">
        <v>1088000</v>
      </c>
    </row>
    <row r="27" spans="1:6" x14ac:dyDescent="0.25">
      <c r="A27" t="s">
        <v>147</v>
      </c>
      <c r="B27" s="2">
        <f>400*60</f>
        <v>24000</v>
      </c>
    </row>
    <row r="28" spans="1:6" x14ac:dyDescent="0.25">
      <c r="A28" s="5" t="s">
        <v>148</v>
      </c>
      <c r="B28" s="13">
        <f>B26/B27</f>
        <v>45.333333333333336</v>
      </c>
    </row>
    <row r="31" spans="1:6" x14ac:dyDescent="0.25">
      <c r="A31" s="1" t="s">
        <v>150</v>
      </c>
    </row>
    <row r="32" spans="1:6" x14ac:dyDescent="0.25">
      <c r="B32" s="7" t="s">
        <v>130</v>
      </c>
      <c r="C32" s="7" t="s">
        <v>131</v>
      </c>
      <c r="D32" s="7" t="s">
        <v>132</v>
      </c>
      <c r="E32" s="7" t="s">
        <v>133</v>
      </c>
    </row>
    <row r="33" spans="1:15" x14ac:dyDescent="0.25">
      <c r="A33" s="40" t="s">
        <v>151</v>
      </c>
      <c r="B33" s="4">
        <f>+B23</f>
        <v>32</v>
      </c>
      <c r="C33" s="4">
        <f t="shared" ref="C33:E33" si="3">+C23</f>
        <v>50</v>
      </c>
      <c r="D33" s="4">
        <f t="shared" si="3"/>
        <v>40</v>
      </c>
      <c r="E33" s="4">
        <f t="shared" si="3"/>
        <v>60</v>
      </c>
    </row>
    <row r="34" spans="1:15" x14ac:dyDescent="0.25">
      <c r="A34" s="40" t="s">
        <v>148</v>
      </c>
      <c r="B34" s="4">
        <f>+B28</f>
        <v>45.333333333333336</v>
      </c>
      <c r="C34" s="4">
        <f>B28</f>
        <v>45.333333333333336</v>
      </c>
      <c r="D34" s="4">
        <f>B28</f>
        <v>45.333333333333336</v>
      </c>
      <c r="E34" s="4">
        <f>B28</f>
        <v>45.333333333333336</v>
      </c>
    </row>
    <row r="35" spans="1:15" x14ac:dyDescent="0.25">
      <c r="A35" s="41" t="s">
        <v>96</v>
      </c>
      <c r="B35" s="42">
        <f>B33/B34</f>
        <v>0.70588235294117641</v>
      </c>
      <c r="C35" s="42">
        <f t="shared" ref="C35:E35" si="4">C33/C34</f>
        <v>1.1029411764705881</v>
      </c>
      <c r="D35" s="42">
        <f t="shared" si="4"/>
        <v>0.88235294117647056</v>
      </c>
      <c r="E35" s="42">
        <f t="shared" si="4"/>
        <v>1.3235294117647058</v>
      </c>
    </row>
    <row r="36" spans="1:15" x14ac:dyDescent="0.25">
      <c r="A36" s="15" t="s">
        <v>152</v>
      </c>
      <c r="B36" s="49" t="s">
        <v>168</v>
      </c>
      <c r="C36" s="49" t="s">
        <v>154</v>
      </c>
      <c r="D36" s="49" t="s">
        <v>167</v>
      </c>
      <c r="E36" s="49" t="s">
        <v>153</v>
      </c>
    </row>
    <row r="38" spans="1:15" x14ac:dyDescent="0.25">
      <c r="A38" s="1" t="s">
        <v>155</v>
      </c>
      <c r="G38" s="1" t="s">
        <v>155</v>
      </c>
    </row>
    <row r="39" spans="1:15" ht="30" x14ac:dyDescent="0.25">
      <c r="A39" s="50" t="s">
        <v>129</v>
      </c>
      <c r="B39" s="50" t="s">
        <v>156</v>
      </c>
      <c r="C39" s="51" t="s">
        <v>135</v>
      </c>
      <c r="D39" s="52" t="s">
        <v>136</v>
      </c>
      <c r="G39" s="1" t="s">
        <v>129</v>
      </c>
      <c r="H39" s="1" t="s">
        <v>156</v>
      </c>
      <c r="I39" s="38" t="s">
        <v>135</v>
      </c>
      <c r="J39" s="39" t="s">
        <v>136</v>
      </c>
    </row>
    <row r="40" spans="1:15" x14ac:dyDescent="0.25">
      <c r="A40" s="50" t="s">
        <v>133</v>
      </c>
      <c r="B40" s="53">
        <v>2000</v>
      </c>
      <c r="C40" s="50">
        <v>6</v>
      </c>
      <c r="D40" s="54">
        <f>B40*C40</f>
        <v>12000</v>
      </c>
      <c r="G40" t="s">
        <v>133</v>
      </c>
      <c r="H40" s="2">
        <v>2000</v>
      </c>
      <c r="I40">
        <v>6</v>
      </c>
      <c r="J40" s="4">
        <f>H40*I40</f>
        <v>12000</v>
      </c>
    </row>
    <row r="41" spans="1:15" x14ac:dyDescent="0.25">
      <c r="A41" s="50" t="s">
        <v>131</v>
      </c>
      <c r="B41" s="53">
        <v>2000</v>
      </c>
      <c r="C41" s="50">
        <v>2</v>
      </c>
      <c r="D41" s="54">
        <f>B41*C41</f>
        <v>4000</v>
      </c>
      <c r="G41" t="s">
        <v>131</v>
      </c>
      <c r="H41" s="2">
        <v>2000</v>
      </c>
      <c r="I41">
        <v>2</v>
      </c>
      <c r="J41" s="4">
        <f>H41*I41</f>
        <v>4000</v>
      </c>
    </row>
    <row r="42" spans="1:15" x14ac:dyDescent="0.25">
      <c r="D42" s="54">
        <f>SUM(D40:D41)</f>
        <v>16000</v>
      </c>
      <c r="G42" t="s">
        <v>132</v>
      </c>
      <c r="H42" s="2">
        <v>2000</v>
      </c>
      <c r="I42">
        <v>3</v>
      </c>
      <c r="J42" s="4">
        <f>H42*I42</f>
        <v>6000</v>
      </c>
    </row>
    <row r="43" spans="1:15" x14ac:dyDescent="0.25">
      <c r="G43" t="s">
        <v>130</v>
      </c>
      <c r="H43" s="43">
        <f>J43/I43</f>
        <v>400</v>
      </c>
      <c r="I43">
        <v>5</v>
      </c>
      <c r="J43" s="4">
        <f>J44-J40-J41-J42</f>
        <v>2000</v>
      </c>
      <c r="L43" s="61"/>
      <c r="M43" s="61"/>
      <c r="N43" s="61"/>
      <c r="O43" s="61"/>
    </row>
    <row r="44" spans="1:15" ht="15.75" thickBot="1" x14ac:dyDescent="0.3">
      <c r="A44" s="50" t="s">
        <v>157</v>
      </c>
      <c r="J44" s="46">
        <v>24000</v>
      </c>
      <c r="L44" s="62"/>
      <c r="M44" s="61"/>
      <c r="N44" s="61"/>
      <c r="O44" s="61"/>
    </row>
    <row r="45" spans="1:15" ht="15.75" thickTop="1" x14ac:dyDescent="0.25">
      <c r="A45" s="50" t="s">
        <v>92</v>
      </c>
      <c r="L45" s="62"/>
      <c r="M45" s="61"/>
      <c r="N45" s="61"/>
      <c r="O45" s="61"/>
    </row>
    <row r="46" spans="1:15" x14ac:dyDescent="0.25">
      <c r="A46" s="50" t="s">
        <v>133</v>
      </c>
      <c r="B46" s="53">
        <v>2000</v>
      </c>
      <c r="C46" s="50">
        <v>360</v>
      </c>
      <c r="D46" s="54">
        <f>B46*C46</f>
        <v>720000</v>
      </c>
      <c r="G46" s="1" t="s">
        <v>157</v>
      </c>
      <c r="L46" s="62"/>
      <c r="M46" s="63"/>
      <c r="N46" s="62"/>
      <c r="O46" s="64"/>
    </row>
    <row r="47" spans="1:15" x14ac:dyDescent="0.25">
      <c r="A47" s="50" t="s">
        <v>131</v>
      </c>
      <c r="B47" s="53">
        <v>2000</v>
      </c>
      <c r="C47" s="50">
        <v>100</v>
      </c>
      <c r="D47" s="55">
        <f>B47*C47</f>
        <v>200000</v>
      </c>
      <c r="G47" s="1" t="s">
        <v>92</v>
      </c>
      <c r="L47" s="62"/>
      <c r="M47" s="63"/>
      <c r="N47" s="62"/>
      <c r="O47" s="64"/>
    </row>
    <row r="48" spans="1:15" x14ac:dyDescent="0.25">
      <c r="A48" s="50" t="s">
        <v>158</v>
      </c>
      <c r="B48" s="50"/>
      <c r="C48" s="50"/>
      <c r="D48" s="54">
        <f>SUM(D46:D47)</f>
        <v>920000</v>
      </c>
      <c r="G48" t="s">
        <v>133</v>
      </c>
      <c r="H48" s="2">
        <v>2000</v>
      </c>
      <c r="I48" s="2">
        <v>360</v>
      </c>
      <c r="J48" s="44">
        <f>H48*I48</f>
        <v>720000</v>
      </c>
      <c r="L48" s="62"/>
      <c r="M48" s="62"/>
      <c r="N48" s="62"/>
      <c r="O48" s="64"/>
    </row>
    <row r="49" spans="1:15" x14ac:dyDescent="0.25">
      <c r="A49" s="50" t="s">
        <v>159</v>
      </c>
      <c r="B49" s="50"/>
      <c r="C49" s="50"/>
      <c r="D49" s="53">
        <v>-1088000</v>
      </c>
      <c r="G49" t="s">
        <v>131</v>
      </c>
      <c r="H49" s="2">
        <v>2000</v>
      </c>
      <c r="I49" s="2">
        <v>100</v>
      </c>
      <c r="J49" s="44">
        <f>H49*I49</f>
        <v>200000</v>
      </c>
      <c r="L49" s="62"/>
      <c r="M49" s="62"/>
      <c r="N49" s="62"/>
      <c r="O49" s="63"/>
    </row>
    <row r="50" spans="1:15" ht="15.75" thickBot="1" x14ac:dyDescent="0.3">
      <c r="A50" s="50" t="s">
        <v>160</v>
      </c>
      <c r="B50" s="50"/>
      <c r="C50" s="50"/>
      <c r="D50" s="56">
        <f>SUM(D48:D49)</f>
        <v>-168000</v>
      </c>
      <c r="G50" t="s">
        <v>132</v>
      </c>
      <c r="H50" s="2">
        <v>2000</v>
      </c>
      <c r="I50" s="2">
        <v>120</v>
      </c>
      <c r="J50" s="45">
        <f>H50*I50</f>
        <v>240000</v>
      </c>
      <c r="L50" s="62"/>
      <c r="M50" s="62"/>
      <c r="N50" s="62"/>
      <c r="O50" s="64"/>
    </row>
    <row r="51" spans="1:15" ht="15.75" thickTop="1" x14ac:dyDescent="0.25">
      <c r="G51" t="s">
        <v>130</v>
      </c>
      <c r="H51" s="2">
        <v>400</v>
      </c>
      <c r="I51" s="2">
        <v>160</v>
      </c>
      <c r="J51" s="2">
        <f>H51*I51</f>
        <v>64000</v>
      </c>
      <c r="L51" s="61"/>
      <c r="M51" s="61"/>
      <c r="N51" s="61"/>
      <c r="O51" s="61"/>
    </row>
    <row r="52" spans="1:15" x14ac:dyDescent="0.25">
      <c r="G52" s="1" t="s">
        <v>158</v>
      </c>
      <c r="H52" s="1"/>
      <c r="I52" s="1"/>
      <c r="J52" s="29">
        <f>SUM(J48:J51)</f>
        <v>1224000</v>
      </c>
      <c r="L52" s="61"/>
      <c r="M52" s="61"/>
      <c r="N52" s="61"/>
      <c r="O52" s="61"/>
    </row>
    <row r="53" spans="1:15" x14ac:dyDescent="0.25">
      <c r="A53" s="1" t="s">
        <v>121</v>
      </c>
      <c r="G53" t="s">
        <v>159</v>
      </c>
      <c r="J53" s="2">
        <v>-1088000</v>
      </c>
    </row>
    <row r="54" spans="1:15" ht="15.75" thickBot="1" x14ac:dyDescent="0.3">
      <c r="A54" s="57" t="s">
        <v>161</v>
      </c>
      <c r="B54" s="58">
        <f>+D48</f>
        <v>920000</v>
      </c>
      <c r="G54" s="5" t="s">
        <v>163</v>
      </c>
      <c r="H54" s="5"/>
      <c r="I54" s="5"/>
      <c r="J54" s="6">
        <f>SUM(J52:J53)</f>
        <v>136000</v>
      </c>
    </row>
    <row r="55" spans="1:15" ht="15.75" thickTop="1" x14ac:dyDescent="0.25">
      <c r="A55" s="57" t="s">
        <v>162</v>
      </c>
      <c r="B55" s="58">
        <f>-D49</f>
        <v>1088000</v>
      </c>
    </row>
    <row r="57" spans="1:15" x14ac:dyDescent="0.25">
      <c r="B57" s="59">
        <f>B54/B55</f>
        <v>0.84558823529411764</v>
      </c>
      <c r="G57" s="1" t="s">
        <v>121</v>
      </c>
    </row>
    <row r="58" spans="1:15" x14ac:dyDescent="0.25">
      <c r="G58" t="s">
        <v>96</v>
      </c>
      <c r="H58" s="31" t="s">
        <v>97</v>
      </c>
      <c r="I58" s="32" t="s">
        <v>164</v>
      </c>
    </row>
    <row r="59" spans="1:15" x14ac:dyDescent="0.25">
      <c r="I59" t="s">
        <v>165</v>
      </c>
    </row>
    <row r="60" spans="1:15" x14ac:dyDescent="0.25">
      <c r="B60" s="2"/>
      <c r="D60" s="2"/>
    </row>
    <row r="61" spans="1:15" x14ac:dyDescent="0.25">
      <c r="B61" s="2"/>
      <c r="D61" s="2"/>
      <c r="I61" s="20">
        <f>J52</f>
        <v>1224000</v>
      </c>
      <c r="J61" s="110" t="s">
        <v>166</v>
      </c>
      <c r="K61" s="3">
        <f>J52/J44</f>
        <v>51</v>
      </c>
    </row>
    <row r="62" spans="1:15" x14ac:dyDescent="0.25">
      <c r="D62" s="2"/>
      <c r="I62" s="4">
        <f>-J53</f>
        <v>1088000</v>
      </c>
      <c r="J62" s="110"/>
      <c r="K62" s="2">
        <f>-J53/J44</f>
        <v>45.333333333333336</v>
      </c>
    </row>
    <row r="63" spans="1:15" x14ac:dyDescent="0.25">
      <c r="D63" s="2"/>
    </row>
    <row r="64" spans="1:15" ht="15.75" thickBot="1" x14ac:dyDescent="0.3">
      <c r="D64" s="2"/>
      <c r="I64" s="47">
        <f>I61/I62</f>
        <v>1.125</v>
      </c>
      <c r="K64" s="48">
        <f>K61/K62</f>
        <v>1.125</v>
      </c>
    </row>
    <row r="65" spans="1:4" ht="15.75" thickTop="1" x14ac:dyDescent="0.25">
      <c r="D65" s="2"/>
    </row>
    <row r="66" spans="1:4" x14ac:dyDescent="0.25">
      <c r="A66" s="68" t="s">
        <v>169</v>
      </c>
      <c r="B66" s="69"/>
      <c r="C66" s="69"/>
      <c r="D66" s="69"/>
    </row>
    <row r="67" spans="1:4" x14ac:dyDescent="0.25">
      <c r="A67" s="68" t="s">
        <v>170</v>
      </c>
      <c r="B67" s="69"/>
      <c r="C67" s="69"/>
      <c r="D67" s="70"/>
    </row>
    <row r="68" spans="1:4" x14ac:dyDescent="0.25">
      <c r="A68" s="69"/>
      <c r="B68" s="69"/>
      <c r="C68" s="69"/>
      <c r="D68" s="70"/>
    </row>
    <row r="69" spans="1:4" x14ac:dyDescent="0.25">
      <c r="A69" s="71" t="s">
        <v>171</v>
      </c>
      <c r="B69" s="69"/>
      <c r="C69" s="69"/>
      <c r="D69" s="70"/>
    </row>
    <row r="70" spans="1:4" x14ac:dyDescent="0.25">
      <c r="A70" s="69" t="s">
        <v>130</v>
      </c>
      <c r="B70" s="69" t="s">
        <v>172</v>
      </c>
      <c r="C70" s="70">
        <f>2000*2</f>
        <v>4000</v>
      </c>
      <c r="D70" s="70"/>
    </row>
    <row r="71" spans="1:4" x14ac:dyDescent="0.25">
      <c r="A71" s="69" t="s">
        <v>132</v>
      </c>
      <c r="B71" s="69" t="s">
        <v>172</v>
      </c>
      <c r="C71" s="70">
        <f>2000*2</f>
        <v>4000</v>
      </c>
      <c r="D71" s="72"/>
    </row>
    <row r="72" spans="1:4" x14ac:dyDescent="0.25">
      <c r="A72" s="69"/>
      <c r="B72" s="69"/>
      <c r="C72" s="72">
        <f>SUM(C70:C71)</f>
        <v>8000</v>
      </c>
      <c r="D72" s="72"/>
    </row>
    <row r="73" spans="1:4" x14ac:dyDescent="0.25">
      <c r="A73" s="69" t="s">
        <v>173</v>
      </c>
      <c r="B73" s="69"/>
      <c r="C73" s="70">
        <f>+C72/60</f>
        <v>133.33333333333334</v>
      </c>
      <c r="D73" s="72">
        <f>+D72*D64</f>
        <v>0</v>
      </c>
    </row>
    <row r="74" spans="1:4" x14ac:dyDescent="0.25">
      <c r="A74" s="69" t="s">
        <v>174</v>
      </c>
      <c r="B74" s="69"/>
      <c r="C74" s="70">
        <v>2400</v>
      </c>
      <c r="D74" s="69"/>
    </row>
    <row r="75" spans="1:4" x14ac:dyDescent="0.25">
      <c r="A75" s="69" t="s">
        <v>175</v>
      </c>
      <c r="B75" s="69"/>
      <c r="C75" s="72">
        <f>C73*C74</f>
        <v>320000</v>
      </c>
      <c r="D75" s="69"/>
    </row>
    <row r="76" spans="1:4" x14ac:dyDescent="0.25">
      <c r="A76" s="69"/>
      <c r="B76" s="69"/>
      <c r="C76" s="69"/>
      <c r="D76" s="69"/>
    </row>
    <row r="77" spans="1:4" x14ac:dyDescent="0.25">
      <c r="A77" s="73" t="s">
        <v>157</v>
      </c>
      <c r="B77" s="69"/>
      <c r="C77" s="69"/>
      <c r="D77" s="69"/>
    </row>
    <row r="78" spans="1:4" x14ac:dyDescent="0.25">
      <c r="A78" s="73" t="s">
        <v>92</v>
      </c>
      <c r="B78" s="69"/>
      <c r="C78" s="69"/>
      <c r="D78" s="69"/>
    </row>
    <row r="79" spans="1:4" x14ac:dyDescent="0.25">
      <c r="A79" s="69" t="s">
        <v>133</v>
      </c>
      <c r="B79" s="70">
        <v>2000</v>
      </c>
      <c r="C79" s="70">
        <v>360</v>
      </c>
      <c r="D79" s="74">
        <f>B79*C79</f>
        <v>720000</v>
      </c>
    </row>
    <row r="80" spans="1:4" x14ac:dyDescent="0.25">
      <c r="A80" s="69" t="s">
        <v>131</v>
      </c>
      <c r="B80" s="70">
        <v>2000</v>
      </c>
      <c r="C80" s="70">
        <v>100</v>
      </c>
      <c r="D80" s="74">
        <f>B80*C80</f>
        <v>200000</v>
      </c>
    </row>
    <row r="81" spans="1:4" x14ac:dyDescent="0.25">
      <c r="A81" s="69" t="s">
        <v>132</v>
      </c>
      <c r="B81" s="70">
        <v>0</v>
      </c>
      <c r="C81" s="70">
        <v>120</v>
      </c>
      <c r="D81" s="75">
        <f>B81*C81</f>
        <v>0</v>
      </c>
    </row>
    <row r="82" spans="1:4" x14ac:dyDescent="0.25">
      <c r="A82" s="69" t="s">
        <v>130</v>
      </c>
      <c r="B82" s="70">
        <v>0</v>
      </c>
      <c r="C82" s="70">
        <v>160</v>
      </c>
      <c r="D82" s="70">
        <f>B82*C82</f>
        <v>0</v>
      </c>
    </row>
    <row r="83" spans="1:4" x14ac:dyDescent="0.25">
      <c r="A83" s="73" t="s">
        <v>158</v>
      </c>
      <c r="B83" s="73"/>
      <c r="C83" s="73"/>
      <c r="D83" s="76">
        <f>SUM(D79:D82)</f>
        <v>920000</v>
      </c>
    </row>
    <row r="84" spans="1:4" x14ac:dyDescent="0.25">
      <c r="A84" s="69" t="s">
        <v>159</v>
      </c>
      <c r="B84" s="69" t="s">
        <v>176</v>
      </c>
      <c r="C84" s="69"/>
      <c r="D84" s="70">
        <f>-(1088000-320000)</f>
        <v>-768000</v>
      </c>
    </row>
    <row r="85" spans="1:4" ht="15.75" thickBot="1" x14ac:dyDescent="0.3">
      <c r="A85" s="77" t="s">
        <v>163</v>
      </c>
      <c r="B85" s="77"/>
      <c r="C85" s="77"/>
      <c r="D85" s="78">
        <f>SUM(D83:D84)</f>
        <v>152000</v>
      </c>
    </row>
    <row r="86" spans="1:4" ht="15.75" thickTop="1" x14ac:dyDescent="0.25"/>
    <row r="87" spans="1:4" x14ac:dyDescent="0.25">
      <c r="A87" t="s">
        <v>96</v>
      </c>
      <c r="B87" s="20">
        <f>+D83</f>
        <v>920000</v>
      </c>
    </row>
    <row r="88" spans="1:4" x14ac:dyDescent="0.25">
      <c r="B88" s="4">
        <f>-D84</f>
        <v>768000</v>
      </c>
    </row>
    <row r="90" spans="1:4" ht="15.75" thickBot="1" x14ac:dyDescent="0.3">
      <c r="B90" s="79">
        <f>B87/B88</f>
        <v>1.1979166666666667</v>
      </c>
    </row>
    <row r="91" spans="1:4" ht="15.75" thickTop="1" x14ac:dyDescent="0.25"/>
  </sheetData>
  <mergeCells count="1">
    <mergeCell ref="J61:J6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workbookViewId="0">
      <selection activeCell="H19" sqref="H19"/>
    </sheetView>
  </sheetViews>
  <sheetFormatPr defaultRowHeight="15" x14ac:dyDescent="0.25"/>
  <cols>
    <col min="1" max="1" width="27.85546875" bestFit="1" customWidth="1"/>
    <col min="2" max="2" width="11.5703125" customWidth="1"/>
    <col min="3" max="3" width="14.28515625" customWidth="1"/>
    <col min="4" max="4" width="13.7109375" bestFit="1" customWidth="1"/>
    <col min="8" max="8" width="10.5703125" bestFit="1" customWidth="1"/>
    <col min="9" max="9" width="11.5703125" bestFit="1" customWidth="1"/>
  </cols>
  <sheetData>
    <row r="2" spans="1:9" x14ac:dyDescent="0.25">
      <c r="A2" s="1" t="s">
        <v>229</v>
      </c>
    </row>
    <row r="3" spans="1:9" ht="45" x14ac:dyDescent="0.25">
      <c r="B3" s="7" t="s">
        <v>231</v>
      </c>
      <c r="C3" s="7" t="s">
        <v>234</v>
      </c>
      <c r="D3" s="7" t="s">
        <v>233</v>
      </c>
      <c r="E3" s="7" t="s">
        <v>236</v>
      </c>
      <c r="F3" s="39" t="s">
        <v>237</v>
      </c>
      <c r="G3" s="39" t="s">
        <v>238</v>
      </c>
      <c r="H3" s="39" t="s">
        <v>239</v>
      </c>
    </row>
    <row r="4" spans="1:9" x14ac:dyDescent="0.25">
      <c r="A4" t="s">
        <v>230</v>
      </c>
      <c r="B4" s="2">
        <v>3</v>
      </c>
      <c r="C4" s="2">
        <v>1</v>
      </c>
      <c r="D4" s="2">
        <v>1.5</v>
      </c>
      <c r="E4" s="2">
        <v>6</v>
      </c>
      <c r="F4" s="2">
        <v>8</v>
      </c>
      <c r="G4" s="2">
        <v>50</v>
      </c>
      <c r="H4" s="2">
        <v>40000</v>
      </c>
      <c r="I4" s="2"/>
    </row>
    <row r="5" spans="1:9" x14ac:dyDescent="0.25">
      <c r="A5" t="s">
        <v>235</v>
      </c>
      <c r="B5" s="2">
        <v>2</v>
      </c>
      <c r="C5" s="2">
        <v>0.1</v>
      </c>
      <c r="D5" s="2">
        <v>0.3</v>
      </c>
      <c r="E5" s="2">
        <v>6</v>
      </c>
      <c r="F5" s="2">
        <v>8</v>
      </c>
      <c r="G5" s="2">
        <v>50</v>
      </c>
      <c r="H5" s="2">
        <v>12000</v>
      </c>
      <c r="I5" s="2"/>
    </row>
    <row r="6" spans="1:9" x14ac:dyDescent="0.25">
      <c r="A6" t="s">
        <v>232</v>
      </c>
      <c r="B6" s="2">
        <v>2</v>
      </c>
      <c r="C6" s="2">
        <v>0.5</v>
      </c>
      <c r="D6" s="2">
        <v>0.5</v>
      </c>
      <c r="E6" s="2">
        <v>6</v>
      </c>
      <c r="F6" s="2">
        <v>8</v>
      </c>
      <c r="G6" s="2">
        <v>50</v>
      </c>
      <c r="H6" s="2">
        <v>28000</v>
      </c>
      <c r="I6" s="2"/>
    </row>
    <row r="7" spans="1:9" x14ac:dyDescent="0.25">
      <c r="H7" s="4">
        <f>SUM(H4:H6)</f>
        <v>80000</v>
      </c>
      <c r="I7" s="4"/>
    </row>
    <row r="8" spans="1:9" x14ac:dyDescent="0.25">
      <c r="A8" t="s">
        <v>102</v>
      </c>
    </row>
    <row r="9" spans="1:9" x14ac:dyDescent="0.25">
      <c r="A9" t="s">
        <v>240</v>
      </c>
      <c r="C9" s="2">
        <v>0.6</v>
      </c>
      <c r="D9" s="2">
        <v>0.6</v>
      </c>
    </row>
    <row r="10" spans="1:9" x14ac:dyDescent="0.25">
      <c r="A10" t="s">
        <v>241</v>
      </c>
      <c r="C10" s="2">
        <v>0</v>
      </c>
      <c r="D10" s="2">
        <v>7.4</v>
      </c>
    </row>
    <row r="12" spans="1:9" x14ac:dyDescent="0.25">
      <c r="A12" t="s">
        <v>242</v>
      </c>
      <c r="C12" s="2">
        <v>60</v>
      </c>
      <c r="D12" s="2">
        <v>110</v>
      </c>
    </row>
    <row r="15" spans="1:9" x14ac:dyDescent="0.25">
      <c r="A15" t="s">
        <v>243</v>
      </c>
      <c r="B15" s="7" t="s">
        <v>244</v>
      </c>
      <c r="C15" s="7" t="s">
        <v>245</v>
      </c>
    </row>
    <row r="16" spans="1:9" x14ac:dyDescent="0.25">
      <c r="A16" t="s">
        <v>230</v>
      </c>
      <c r="B16" s="14">
        <f>8*6*50*1*3</f>
        <v>7200</v>
      </c>
      <c r="C16" s="14">
        <f>8*6*50*3/1.5</f>
        <v>4800</v>
      </c>
      <c r="D16" s="1" t="s">
        <v>251</v>
      </c>
    </row>
    <row r="17" spans="1:3" x14ac:dyDescent="0.25">
      <c r="B17" t="s">
        <v>246</v>
      </c>
      <c r="C17" t="s">
        <v>247</v>
      </c>
    </row>
    <row r="18" spans="1:3" x14ac:dyDescent="0.25">
      <c r="A18" t="s">
        <v>235</v>
      </c>
      <c r="B18" s="2">
        <f>8*6*50*2/0.1</f>
        <v>48000</v>
      </c>
      <c r="C18" s="2">
        <f>8*6*50*2/0.3</f>
        <v>16000</v>
      </c>
    </row>
    <row r="19" spans="1:3" x14ac:dyDescent="0.25">
      <c r="B19" t="s">
        <v>248</v>
      </c>
      <c r="C19" t="s">
        <v>249</v>
      </c>
    </row>
    <row r="20" spans="1:3" x14ac:dyDescent="0.25">
      <c r="A20" t="s">
        <v>232</v>
      </c>
      <c r="B20" s="2">
        <f>8*6*50*2/0.5</f>
        <v>9600</v>
      </c>
      <c r="C20" s="2">
        <f>8*6*50*2/0.5</f>
        <v>9600</v>
      </c>
    </row>
    <row r="21" spans="1:3" x14ac:dyDescent="0.25">
      <c r="B21" t="s">
        <v>250</v>
      </c>
      <c r="C21" t="s">
        <v>250</v>
      </c>
    </row>
    <row r="23" spans="1:3" x14ac:dyDescent="0.25">
      <c r="A23" t="s">
        <v>252</v>
      </c>
    </row>
    <row r="24" spans="1:3" x14ac:dyDescent="0.25">
      <c r="B24" s="7" t="s">
        <v>244</v>
      </c>
      <c r="C24" s="7" t="s">
        <v>245</v>
      </c>
    </row>
    <row r="25" spans="1:3" x14ac:dyDescent="0.25">
      <c r="A25" t="s">
        <v>242</v>
      </c>
      <c r="B25" s="4">
        <f>+C12</f>
        <v>60</v>
      </c>
      <c r="C25" s="4">
        <f>+D12</f>
        <v>110</v>
      </c>
    </row>
    <row r="26" spans="1:3" x14ac:dyDescent="0.25">
      <c r="A26" t="s">
        <v>102</v>
      </c>
      <c r="B26" s="4">
        <f>-C9</f>
        <v>-0.6</v>
      </c>
      <c r="C26" s="4">
        <f>-D9-D10</f>
        <v>-8</v>
      </c>
    </row>
    <row r="27" spans="1:3" x14ac:dyDescent="0.25">
      <c r="A27" t="s">
        <v>253</v>
      </c>
      <c r="B27" s="4">
        <f>SUM(B25:B26)</f>
        <v>59.4</v>
      </c>
      <c r="C27" s="4">
        <f>SUM(C25:C26)</f>
        <v>102</v>
      </c>
    </row>
    <row r="28" spans="1:3" x14ac:dyDescent="0.25">
      <c r="A28" t="s">
        <v>254</v>
      </c>
      <c r="B28" s="4">
        <f>+C4</f>
        <v>1</v>
      </c>
      <c r="C28" s="4">
        <f>+D4</f>
        <v>1.5</v>
      </c>
    </row>
    <row r="29" spans="1:3" x14ac:dyDescent="0.25">
      <c r="A29" t="s">
        <v>255</v>
      </c>
      <c r="B29" s="2">
        <f>B27/B28</f>
        <v>59.4</v>
      </c>
      <c r="C29" s="2">
        <f>C27/C28</f>
        <v>68</v>
      </c>
    </row>
    <row r="30" spans="1:3" x14ac:dyDescent="0.25">
      <c r="A30" t="s">
        <v>256</v>
      </c>
      <c r="B30" s="4">
        <f>+B38</f>
        <v>25.888888888888889</v>
      </c>
      <c r="C30" s="4">
        <f>+B38</f>
        <v>25.888888888888889</v>
      </c>
    </row>
    <row r="31" spans="1:3" x14ac:dyDescent="0.25">
      <c r="A31" s="15" t="s">
        <v>96</v>
      </c>
      <c r="B31" s="14">
        <f>B29/B30</f>
        <v>2.294420600858369</v>
      </c>
      <c r="C31" s="14">
        <f>C29/C30</f>
        <v>2.6266094420600856</v>
      </c>
    </row>
    <row r="33" spans="1:3" x14ac:dyDescent="0.25">
      <c r="A33" s="1" t="s">
        <v>257</v>
      </c>
    </row>
    <row r="34" spans="1:3" x14ac:dyDescent="0.25">
      <c r="A34" t="s">
        <v>258</v>
      </c>
      <c r="B34" s="4">
        <f>+H7</f>
        <v>80000</v>
      </c>
    </row>
    <row r="35" spans="1:3" x14ac:dyDescent="0.25">
      <c r="A35" t="s">
        <v>259</v>
      </c>
      <c r="B35" s="2">
        <v>106400</v>
      </c>
    </row>
    <row r="36" spans="1:3" x14ac:dyDescent="0.25">
      <c r="A36" t="s">
        <v>260</v>
      </c>
      <c r="B36" s="4">
        <f>SUM(B34:B35)</f>
        <v>186400</v>
      </c>
    </row>
    <row r="37" spans="1:3" x14ac:dyDescent="0.25">
      <c r="A37" t="s">
        <v>261</v>
      </c>
      <c r="B37" s="2">
        <f>8*6*50*3</f>
        <v>7200</v>
      </c>
      <c r="C37" t="s">
        <v>262</v>
      </c>
    </row>
    <row r="38" spans="1:3" x14ac:dyDescent="0.25">
      <c r="A38" t="s">
        <v>263</v>
      </c>
      <c r="B38" s="2">
        <f>B36/B37</f>
        <v>25.888888888888889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9"/>
  <sheetViews>
    <sheetView workbookViewId="0">
      <selection activeCell="L21" sqref="L21"/>
    </sheetView>
  </sheetViews>
  <sheetFormatPr defaultRowHeight="15" x14ac:dyDescent="0.25"/>
  <cols>
    <col min="1" max="1" width="36.28515625" bestFit="1" customWidth="1"/>
    <col min="2" max="2" width="11.5703125" bestFit="1" customWidth="1"/>
    <col min="3" max="4" width="10.5703125" bestFit="1" customWidth="1"/>
    <col min="5" max="5" width="11.5703125" bestFit="1" customWidth="1"/>
    <col min="6" max="6" width="14.85546875" customWidth="1"/>
    <col min="7" max="7" width="20" customWidth="1"/>
    <col min="8" max="8" width="9.5703125" bestFit="1" customWidth="1"/>
    <col min="10" max="10" width="11.28515625" bestFit="1" customWidth="1"/>
    <col min="14" max="14" width="9.5703125" bestFit="1" customWidth="1"/>
  </cols>
  <sheetData>
    <row r="2" spans="1:8" x14ac:dyDescent="0.25">
      <c r="A2" s="1" t="s">
        <v>177</v>
      </c>
    </row>
    <row r="4" spans="1:8" x14ac:dyDescent="0.25">
      <c r="A4" s="1" t="s">
        <v>178</v>
      </c>
    </row>
    <row r="5" spans="1:8" ht="30" x14ac:dyDescent="0.25">
      <c r="B5" s="60" t="s">
        <v>131</v>
      </c>
      <c r="C5" s="60" t="s">
        <v>180</v>
      </c>
      <c r="D5" s="60" t="s">
        <v>181</v>
      </c>
      <c r="F5" s="80" t="s">
        <v>184</v>
      </c>
      <c r="G5" s="80" t="s">
        <v>182</v>
      </c>
    </row>
    <row r="6" spans="1:8" x14ac:dyDescent="0.25">
      <c r="A6" t="s">
        <v>30</v>
      </c>
      <c r="B6" s="2">
        <v>12</v>
      </c>
      <c r="C6" s="2">
        <v>4</v>
      </c>
      <c r="D6" s="2">
        <v>2</v>
      </c>
      <c r="E6" s="4">
        <f>SUM(B6:D6)</f>
        <v>18</v>
      </c>
      <c r="F6" s="4">
        <v>3200</v>
      </c>
      <c r="G6" s="2">
        <f>F6/E6</f>
        <v>177.77777777777777</v>
      </c>
    </row>
    <row r="7" spans="1:8" x14ac:dyDescent="0.25">
      <c r="A7" s="15" t="s">
        <v>31</v>
      </c>
      <c r="B7" s="14">
        <v>18</v>
      </c>
      <c r="C7" s="14">
        <v>6</v>
      </c>
      <c r="D7" s="14">
        <v>3</v>
      </c>
      <c r="E7" s="81">
        <f t="shared" ref="E7:E8" si="0">SUM(B7:D7)</f>
        <v>27</v>
      </c>
      <c r="F7" s="81">
        <v>3200</v>
      </c>
      <c r="G7" s="14">
        <f>F7/E7</f>
        <v>118.51851851851852</v>
      </c>
      <c r="H7" s="5" t="s">
        <v>183</v>
      </c>
    </row>
    <row r="8" spans="1:8" x14ac:dyDescent="0.25">
      <c r="A8" t="s">
        <v>179</v>
      </c>
      <c r="B8" s="2">
        <v>6</v>
      </c>
      <c r="C8" s="2">
        <v>2</v>
      </c>
      <c r="D8" s="2">
        <v>1</v>
      </c>
      <c r="E8" s="4">
        <f t="shared" si="0"/>
        <v>9</v>
      </c>
      <c r="F8" s="4">
        <v>3200</v>
      </c>
      <c r="G8" s="2">
        <f t="shared" ref="G8" si="1">F8/E8</f>
        <v>355.55555555555554</v>
      </c>
    </row>
    <row r="10" spans="1:8" x14ac:dyDescent="0.25">
      <c r="A10" s="69" t="s">
        <v>134</v>
      </c>
      <c r="B10" s="69">
        <v>100</v>
      </c>
      <c r="C10" s="69">
        <v>100</v>
      </c>
      <c r="D10" s="69">
        <v>100</v>
      </c>
      <c r="E10" s="69"/>
      <c r="F10" s="69"/>
    </row>
    <row r="11" spans="1:8" x14ac:dyDescent="0.25">
      <c r="A11" s="69" t="s">
        <v>30</v>
      </c>
      <c r="B11" s="70">
        <f>+B6*$B$10</f>
        <v>1200</v>
      </c>
      <c r="C11" s="70">
        <f>+C6*$C$10</f>
        <v>400</v>
      </c>
      <c r="D11" s="70">
        <f>+D6*$D$10</f>
        <v>200</v>
      </c>
      <c r="E11" s="72">
        <f>SUM(B11:D11)</f>
        <v>1800</v>
      </c>
      <c r="F11" s="72">
        <v>3200</v>
      </c>
    </row>
    <row r="12" spans="1:8" x14ac:dyDescent="0.25">
      <c r="A12" s="71" t="s">
        <v>31</v>
      </c>
      <c r="B12" s="70">
        <f t="shared" ref="B12:B13" si="2">+B7*$B$10</f>
        <v>1800</v>
      </c>
      <c r="C12" s="70">
        <f t="shared" ref="C12:C13" si="3">+C7*$C$10</f>
        <v>600</v>
      </c>
      <c r="D12" s="70">
        <f t="shared" ref="D12:D13" si="4">+D7*$D$10</f>
        <v>300</v>
      </c>
      <c r="E12" s="72">
        <f t="shared" ref="E12:E13" si="5">SUM(B12:D12)</f>
        <v>2700</v>
      </c>
      <c r="F12" s="72">
        <v>3200</v>
      </c>
    </row>
    <row r="13" spans="1:8" x14ac:dyDescent="0.25">
      <c r="A13" s="69" t="s">
        <v>179</v>
      </c>
      <c r="B13" s="70">
        <f t="shared" si="2"/>
        <v>600</v>
      </c>
      <c r="C13" s="70">
        <f t="shared" si="3"/>
        <v>200</v>
      </c>
      <c r="D13" s="70">
        <f t="shared" si="4"/>
        <v>100</v>
      </c>
      <c r="E13" s="72">
        <f t="shared" si="5"/>
        <v>900</v>
      </c>
      <c r="F13" s="72">
        <v>3200</v>
      </c>
    </row>
    <row r="14" spans="1:8" x14ac:dyDescent="0.25">
      <c r="A14" s="69"/>
      <c r="B14" s="69"/>
      <c r="C14" s="69"/>
      <c r="D14" s="69"/>
      <c r="E14" s="69"/>
      <c r="F14" s="69"/>
    </row>
    <row r="15" spans="1:8" x14ac:dyDescent="0.25">
      <c r="A15" s="69" t="s">
        <v>134</v>
      </c>
      <c r="B15" s="69">
        <v>200</v>
      </c>
      <c r="C15" s="69">
        <v>200</v>
      </c>
      <c r="D15" s="69">
        <v>200</v>
      </c>
      <c r="E15" s="69"/>
      <c r="F15" s="69"/>
    </row>
    <row r="16" spans="1:8" x14ac:dyDescent="0.25">
      <c r="A16" s="69" t="s">
        <v>30</v>
      </c>
      <c r="B16" s="70">
        <f>B6*$B$15</f>
        <v>2400</v>
      </c>
      <c r="C16" s="70">
        <f>C6*$C$15</f>
        <v>800</v>
      </c>
      <c r="D16" s="70">
        <f>D6*$D$15</f>
        <v>400</v>
      </c>
      <c r="E16" s="72">
        <f>SUM(B16:D16)</f>
        <v>3600</v>
      </c>
      <c r="F16" s="72">
        <v>3200</v>
      </c>
    </row>
    <row r="17" spans="1:10" x14ac:dyDescent="0.25">
      <c r="A17" s="71" t="s">
        <v>31</v>
      </c>
      <c r="B17" s="70">
        <f t="shared" ref="B17:B18" si="6">B7*$B$15</f>
        <v>3600</v>
      </c>
      <c r="C17" s="70">
        <f t="shared" ref="C17:C18" si="7">C7*$C$15</f>
        <v>1200</v>
      </c>
      <c r="D17" s="70">
        <f t="shared" ref="D17:D18" si="8">D7*$D$15</f>
        <v>600</v>
      </c>
      <c r="E17" s="72">
        <f t="shared" ref="E17:E18" si="9">SUM(B17:D17)</f>
        <v>5400</v>
      </c>
      <c r="F17" s="72">
        <v>3200</v>
      </c>
    </row>
    <row r="18" spans="1:10" x14ac:dyDescent="0.25">
      <c r="A18" s="69" t="s">
        <v>179</v>
      </c>
      <c r="B18" s="70">
        <f t="shared" si="6"/>
        <v>1200</v>
      </c>
      <c r="C18" s="70">
        <f t="shared" si="7"/>
        <v>400</v>
      </c>
      <c r="D18" s="70">
        <f t="shared" si="8"/>
        <v>200</v>
      </c>
      <c r="E18" s="72">
        <f t="shared" si="9"/>
        <v>1800</v>
      </c>
      <c r="F18" s="72">
        <v>3200</v>
      </c>
    </row>
    <row r="20" spans="1:10" x14ac:dyDescent="0.25">
      <c r="A20" s="82" t="s">
        <v>193</v>
      </c>
    </row>
    <row r="21" spans="1:10" x14ac:dyDescent="0.25">
      <c r="B21" s="7" t="s">
        <v>131</v>
      </c>
      <c r="C21" s="7" t="s">
        <v>180</v>
      </c>
      <c r="D21" s="7" t="s">
        <v>181</v>
      </c>
      <c r="G21" s="90" t="s">
        <v>39</v>
      </c>
      <c r="H21" s="91"/>
      <c r="I21" s="91"/>
      <c r="J21" s="91"/>
    </row>
    <row r="22" spans="1:10" x14ac:dyDescent="0.25">
      <c r="A22" t="s">
        <v>33</v>
      </c>
      <c r="B22" s="2">
        <v>180</v>
      </c>
      <c r="C22" s="2">
        <v>150</v>
      </c>
      <c r="D22" s="2">
        <v>90</v>
      </c>
      <c r="G22" s="92" t="s">
        <v>131</v>
      </c>
      <c r="H22" s="93">
        <f>+B34</f>
        <v>77.777777777777771</v>
      </c>
      <c r="I22" s="93">
        <f>+B25</f>
        <v>112</v>
      </c>
      <c r="J22" s="94">
        <f>H22*I22</f>
        <v>8711.1111111111095</v>
      </c>
    </row>
    <row r="23" spans="1:10" x14ac:dyDescent="0.25">
      <c r="A23" t="s">
        <v>185</v>
      </c>
      <c r="B23" s="2">
        <v>-60</v>
      </c>
      <c r="C23" s="2">
        <v>-50</v>
      </c>
      <c r="D23" s="2">
        <v>-30</v>
      </c>
      <c r="G23" s="92" t="s">
        <v>180</v>
      </c>
      <c r="H23" s="93">
        <f>+B33</f>
        <v>200</v>
      </c>
      <c r="I23" s="93">
        <f>+C25</f>
        <v>90</v>
      </c>
      <c r="J23" s="94">
        <f t="shared" ref="J23:J24" si="10">H23*I23</f>
        <v>18000</v>
      </c>
    </row>
    <row r="24" spans="1:10" x14ac:dyDescent="0.25">
      <c r="A24" t="s">
        <v>186</v>
      </c>
      <c r="B24" s="2">
        <v>-8</v>
      </c>
      <c r="C24" s="2">
        <v>-10</v>
      </c>
      <c r="D24" s="2">
        <v>-9</v>
      </c>
      <c r="G24" s="92" t="s">
        <v>181</v>
      </c>
      <c r="H24" s="93">
        <f>+B32</f>
        <v>200</v>
      </c>
      <c r="I24" s="93">
        <f>+D25</f>
        <v>51</v>
      </c>
      <c r="J24" s="99">
        <f t="shared" si="10"/>
        <v>10200</v>
      </c>
    </row>
    <row r="25" spans="1:10" x14ac:dyDescent="0.25">
      <c r="A25" t="s">
        <v>187</v>
      </c>
      <c r="B25" s="4">
        <f>SUM(B22:B24)</f>
        <v>112</v>
      </c>
      <c r="C25" s="4">
        <f t="shared" ref="C25:D25" si="11">SUM(C22:C24)</f>
        <v>90</v>
      </c>
      <c r="D25" s="4">
        <f t="shared" si="11"/>
        <v>51</v>
      </c>
      <c r="G25" s="95" t="s">
        <v>204</v>
      </c>
      <c r="H25" s="91"/>
      <c r="I25" s="91"/>
      <c r="J25" s="93">
        <f>SUM(J22:J24)</f>
        <v>36911.111111111109</v>
      </c>
    </row>
    <row r="26" spans="1:10" x14ac:dyDescent="0.25">
      <c r="A26" t="s">
        <v>188</v>
      </c>
      <c r="B26" s="4">
        <v>18</v>
      </c>
      <c r="C26" s="4">
        <v>6</v>
      </c>
      <c r="D26" s="4">
        <v>3</v>
      </c>
      <c r="G26" s="92" t="s">
        <v>205</v>
      </c>
      <c r="H26" s="91"/>
      <c r="I26" s="91"/>
      <c r="J26" s="94">
        <v>-33000</v>
      </c>
    </row>
    <row r="27" spans="1:10" ht="15.75" thickBot="1" x14ac:dyDescent="0.3">
      <c r="A27" t="s">
        <v>189</v>
      </c>
      <c r="B27" s="2">
        <f>B25/B26</f>
        <v>6.2222222222222223</v>
      </c>
      <c r="C27" s="2">
        <f t="shared" ref="C27:D27" si="12">C25/C26</f>
        <v>15</v>
      </c>
      <c r="D27" s="2">
        <f t="shared" si="12"/>
        <v>17</v>
      </c>
      <c r="G27" s="96" t="s">
        <v>88</v>
      </c>
      <c r="H27" s="97"/>
      <c r="I27" s="97"/>
      <c r="J27" s="98">
        <f>SUM(J25:J26)</f>
        <v>3911.1111111111095</v>
      </c>
    </row>
    <row r="28" spans="1:10" ht="15.75" thickTop="1" x14ac:dyDescent="0.25">
      <c r="A28" s="15" t="s">
        <v>152</v>
      </c>
      <c r="B28" s="14">
        <v>3</v>
      </c>
      <c r="C28" s="14">
        <v>2</v>
      </c>
      <c r="D28" s="14">
        <v>1</v>
      </c>
      <c r="G28" s="91"/>
      <c r="H28" s="91"/>
      <c r="I28" s="91"/>
      <c r="J28" s="91"/>
    </row>
    <row r="29" spans="1:10" x14ac:dyDescent="0.25">
      <c r="G29" s="91"/>
      <c r="H29" s="91"/>
      <c r="I29" s="91"/>
      <c r="J29" s="91"/>
    </row>
    <row r="30" spans="1:10" x14ac:dyDescent="0.25">
      <c r="A30" s="1" t="s">
        <v>190</v>
      </c>
    </row>
    <row r="31" spans="1:10" ht="30" x14ac:dyDescent="0.25">
      <c r="A31" s="84" t="s">
        <v>129</v>
      </c>
      <c r="B31" s="39" t="s">
        <v>191</v>
      </c>
      <c r="C31" s="39" t="s">
        <v>192</v>
      </c>
      <c r="D31" s="7" t="s">
        <v>50</v>
      </c>
    </row>
    <row r="32" spans="1:10" x14ac:dyDescent="0.25">
      <c r="A32" s="60" t="s">
        <v>181</v>
      </c>
      <c r="B32" s="2">
        <v>200</v>
      </c>
      <c r="C32">
        <v>3</v>
      </c>
      <c r="D32" s="4">
        <f>B32*C32</f>
        <v>600</v>
      </c>
    </row>
    <row r="33" spans="1:14" x14ac:dyDescent="0.25">
      <c r="A33" s="60" t="s">
        <v>180</v>
      </c>
      <c r="B33" s="2">
        <v>200</v>
      </c>
      <c r="C33">
        <v>6</v>
      </c>
      <c r="D33" s="4">
        <f>B33*C33</f>
        <v>1200</v>
      </c>
      <c r="E33" s="4">
        <f>+D35-D32</f>
        <v>2600</v>
      </c>
    </row>
    <row r="34" spans="1:14" x14ac:dyDescent="0.25">
      <c r="A34" s="60" t="s">
        <v>131</v>
      </c>
      <c r="B34" s="85">
        <f>D34/C34</f>
        <v>77.777777777777771</v>
      </c>
      <c r="C34">
        <v>18</v>
      </c>
      <c r="D34" s="2">
        <v>1400</v>
      </c>
      <c r="E34" s="4">
        <f>D35-D32-D33</f>
        <v>1400</v>
      </c>
    </row>
    <row r="35" spans="1:14" ht="15.75" thickBot="1" x14ac:dyDescent="0.3">
      <c r="A35" s="60"/>
      <c r="D35" s="83">
        <v>3200</v>
      </c>
    </row>
    <row r="36" spans="1:14" ht="15.75" thickTop="1" x14ac:dyDescent="0.25"/>
    <row r="37" spans="1:14" x14ac:dyDescent="0.25">
      <c r="A37" s="82" t="s">
        <v>194</v>
      </c>
    </row>
    <row r="38" spans="1:14" x14ac:dyDescent="0.25">
      <c r="B38" s="7" t="s">
        <v>131</v>
      </c>
      <c r="C38" s="7" t="s">
        <v>180</v>
      </c>
      <c r="D38" s="7" t="s">
        <v>181</v>
      </c>
      <c r="G38" s="90" t="s">
        <v>92</v>
      </c>
      <c r="H38" s="91"/>
      <c r="I38" s="91"/>
      <c r="J38" s="91"/>
    </row>
    <row r="39" spans="1:14" x14ac:dyDescent="0.25">
      <c r="A39" t="s">
        <v>33</v>
      </c>
      <c r="B39" s="2">
        <v>180</v>
      </c>
      <c r="C39" s="2">
        <v>150</v>
      </c>
      <c r="D39" s="2">
        <v>90</v>
      </c>
      <c r="G39" s="92" t="s">
        <v>131</v>
      </c>
      <c r="H39" s="93">
        <v>0</v>
      </c>
      <c r="I39" s="93">
        <f>+B41</f>
        <v>120</v>
      </c>
      <c r="J39" s="94">
        <f>H39*I39</f>
        <v>0</v>
      </c>
    </row>
    <row r="40" spans="1:14" x14ac:dyDescent="0.25">
      <c r="A40" t="s">
        <v>185</v>
      </c>
      <c r="B40" s="2">
        <v>-60</v>
      </c>
      <c r="C40" s="2">
        <v>-50</v>
      </c>
      <c r="D40" s="2">
        <v>-30</v>
      </c>
      <c r="G40" s="92" t="s">
        <v>180</v>
      </c>
      <c r="H40" s="93">
        <v>200</v>
      </c>
      <c r="I40" s="93">
        <f>+C41</f>
        <v>100</v>
      </c>
      <c r="J40" s="94">
        <f t="shared" ref="J40:J41" si="13">H40*I40</f>
        <v>20000</v>
      </c>
    </row>
    <row r="41" spans="1:14" x14ac:dyDescent="0.25">
      <c r="A41" t="s">
        <v>92</v>
      </c>
      <c r="B41" s="4">
        <f>SUM(B39:B40)</f>
        <v>120</v>
      </c>
      <c r="C41" s="4">
        <f t="shared" ref="C41:D41" si="14">SUM(C39:C40)</f>
        <v>100</v>
      </c>
      <c r="D41" s="4">
        <f t="shared" si="14"/>
        <v>60</v>
      </c>
      <c r="G41" s="92" t="s">
        <v>181</v>
      </c>
      <c r="H41" s="93">
        <v>200</v>
      </c>
      <c r="I41" s="93">
        <f>+D41</f>
        <v>60</v>
      </c>
      <c r="J41" s="99">
        <f t="shared" si="13"/>
        <v>12000</v>
      </c>
    </row>
    <row r="42" spans="1:14" x14ac:dyDescent="0.25">
      <c r="A42" t="s">
        <v>188</v>
      </c>
      <c r="B42" s="4">
        <v>18</v>
      </c>
      <c r="C42" s="4">
        <v>6</v>
      </c>
      <c r="D42" s="4">
        <v>3</v>
      </c>
      <c r="G42" s="95" t="s">
        <v>204</v>
      </c>
      <c r="H42" s="91"/>
      <c r="I42" s="91"/>
      <c r="J42" s="93">
        <f>SUM(J39:J41)</f>
        <v>32000</v>
      </c>
    </row>
    <row r="43" spans="1:14" x14ac:dyDescent="0.25">
      <c r="A43" s="1" t="s">
        <v>151</v>
      </c>
      <c r="B43" s="25">
        <f>B41/B42</f>
        <v>6.666666666666667</v>
      </c>
      <c r="C43" s="25">
        <f t="shared" ref="C43:D43" si="15">C41/C42</f>
        <v>16.666666666666668</v>
      </c>
      <c r="D43" s="25">
        <f t="shared" si="15"/>
        <v>20</v>
      </c>
      <c r="G43" s="92" t="s">
        <v>205</v>
      </c>
      <c r="H43" s="91"/>
      <c r="I43" s="91"/>
      <c r="J43" s="94">
        <f>-B51-N48</f>
        <v>-36800</v>
      </c>
      <c r="K43" t="s">
        <v>207</v>
      </c>
    </row>
    <row r="44" spans="1:14" ht="15.75" thickBot="1" x14ac:dyDescent="0.3">
      <c r="A44" s="1" t="s">
        <v>195</v>
      </c>
      <c r="B44" s="29">
        <f>+B55</f>
        <v>11.694444444444443</v>
      </c>
      <c r="C44" s="29">
        <f>+B55</f>
        <v>11.694444444444443</v>
      </c>
      <c r="D44" s="29">
        <f>+B55</f>
        <v>11.694444444444443</v>
      </c>
      <c r="G44" s="96" t="s">
        <v>206</v>
      </c>
      <c r="H44" s="97"/>
      <c r="I44" s="97"/>
      <c r="J44" s="98">
        <f>SUM(J42:J43)</f>
        <v>-4800</v>
      </c>
    </row>
    <row r="45" spans="1:14" ht="15.75" thickTop="1" x14ac:dyDescent="0.25">
      <c r="A45" s="5" t="s">
        <v>96</v>
      </c>
      <c r="B45" s="14">
        <f>B43/B44</f>
        <v>0.57007125890736354</v>
      </c>
      <c r="C45" s="14">
        <f t="shared" ref="C45:D45" si="16">C43/C44</f>
        <v>1.4251781472684089</v>
      </c>
      <c r="D45" s="14">
        <f t="shared" si="16"/>
        <v>1.7102137767220904</v>
      </c>
      <c r="G45" s="91"/>
      <c r="H45" s="91"/>
      <c r="I45" s="91"/>
      <c r="J45" s="91"/>
      <c r="K45" t="s">
        <v>131</v>
      </c>
      <c r="L45" s="2">
        <v>0</v>
      </c>
      <c r="M45" s="2">
        <v>8</v>
      </c>
      <c r="N45" s="2">
        <f>L45*M45</f>
        <v>0</v>
      </c>
    </row>
    <row r="46" spans="1:14" x14ac:dyDescent="0.25">
      <c r="A46" t="s">
        <v>152</v>
      </c>
      <c r="B46" s="2">
        <v>3</v>
      </c>
      <c r="C46" s="2">
        <v>2</v>
      </c>
      <c r="D46" s="2">
        <v>1</v>
      </c>
      <c r="K46" t="s">
        <v>180</v>
      </c>
      <c r="L46" s="2">
        <f>+F57</f>
        <v>200</v>
      </c>
      <c r="M46" s="2">
        <v>10</v>
      </c>
      <c r="N46" s="2">
        <f t="shared" ref="N46:N47" si="17">L46*M46</f>
        <v>2000</v>
      </c>
    </row>
    <row r="47" spans="1:14" x14ac:dyDescent="0.25">
      <c r="B47" s="49" t="s">
        <v>202</v>
      </c>
      <c r="K47" t="s">
        <v>181</v>
      </c>
      <c r="L47" s="2">
        <f>+F58</f>
        <v>200</v>
      </c>
      <c r="M47" s="2">
        <v>9</v>
      </c>
      <c r="N47" s="2">
        <f t="shared" si="17"/>
        <v>1800</v>
      </c>
    </row>
    <row r="48" spans="1:14" x14ac:dyDescent="0.25">
      <c r="B48" s="49" t="s">
        <v>203</v>
      </c>
      <c r="L48" s="2"/>
      <c r="M48" s="2"/>
      <c r="N48" s="86">
        <f>SUM(N45:N47)</f>
        <v>3800</v>
      </c>
    </row>
    <row r="50" spans="1:10" x14ac:dyDescent="0.25">
      <c r="A50" s="1" t="s">
        <v>196</v>
      </c>
    </row>
    <row r="51" spans="1:10" x14ac:dyDescent="0.25">
      <c r="A51" t="s">
        <v>197</v>
      </c>
      <c r="B51" s="2">
        <v>33000</v>
      </c>
      <c r="E51" t="s">
        <v>131</v>
      </c>
      <c r="F51" s="2">
        <v>200</v>
      </c>
      <c r="G51" s="2">
        <v>8</v>
      </c>
      <c r="H51" s="2">
        <f>F51*G51</f>
        <v>1600</v>
      </c>
    </row>
    <row r="52" spans="1:10" x14ac:dyDescent="0.25">
      <c r="A52" t="s">
        <v>198</v>
      </c>
      <c r="B52" s="4">
        <f>+H59</f>
        <v>4422.2222222222226</v>
      </c>
      <c r="E52" t="s">
        <v>180</v>
      </c>
      <c r="F52" s="2">
        <v>200</v>
      </c>
      <c r="G52" s="2">
        <v>10</v>
      </c>
      <c r="H52" s="2">
        <f t="shared" ref="H52:H53" si="18">F52*G52</f>
        <v>2000</v>
      </c>
    </row>
    <row r="53" spans="1:10" x14ac:dyDescent="0.25">
      <c r="B53" s="4">
        <f>SUM(B51:B52)</f>
        <v>37422.222222222219</v>
      </c>
      <c r="E53" t="s">
        <v>181</v>
      </c>
      <c r="F53" s="2">
        <v>200</v>
      </c>
      <c r="G53" s="2">
        <v>9</v>
      </c>
      <c r="H53" s="2">
        <f t="shared" si="18"/>
        <v>1800</v>
      </c>
    </row>
    <row r="54" spans="1:10" x14ac:dyDescent="0.25">
      <c r="A54" t="s">
        <v>201</v>
      </c>
      <c r="B54" s="2">
        <v>3200</v>
      </c>
      <c r="F54" s="2"/>
      <c r="G54" s="2"/>
      <c r="H54" s="86">
        <f>SUM(H51:H53)</f>
        <v>5400</v>
      </c>
      <c r="I54" t="s">
        <v>200</v>
      </c>
    </row>
    <row r="55" spans="1:10" x14ac:dyDescent="0.25">
      <c r="A55" s="1" t="s">
        <v>148</v>
      </c>
      <c r="B55" s="25">
        <f>B53/B54</f>
        <v>11.694444444444443</v>
      </c>
    </row>
    <row r="56" spans="1:10" x14ac:dyDescent="0.25">
      <c r="E56" s="66" t="s">
        <v>131</v>
      </c>
      <c r="F56" s="67">
        <f>+B34</f>
        <v>77.777777777777771</v>
      </c>
      <c r="G56" s="67">
        <v>8</v>
      </c>
      <c r="H56" s="67">
        <f>F56*G56</f>
        <v>622.22222222222217</v>
      </c>
      <c r="I56" s="66"/>
      <c r="J56" s="66"/>
    </row>
    <row r="57" spans="1:10" x14ac:dyDescent="0.25">
      <c r="E57" s="66" t="s">
        <v>180</v>
      </c>
      <c r="F57" s="67">
        <v>200</v>
      </c>
      <c r="G57" s="67">
        <v>10</v>
      </c>
      <c r="H57" s="67">
        <f t="shared" ref="H57:H58" si="19">F57*G57</f>
        <v>2000</v>
      </c>
      <c r="I57" s="66"/>
      <c r="J57" s="66"/>
    </row>
    <row r="58" spans="1:10" x14ac:dyDescent="0.25">
      <c r="E58" s="66" t="s">
        <v>181</v>
      </c>
      <c r="F58" s="67">
        <v>200</v>
      </c>
      <c r="G58" s="67">
        <v>9</v>
      </c>
      <c r="H58" s="67">
        <f t="shared" si="19"/>
        <v>1800</v>
      </c>
      <c r="I58" s="66"/>
      <c r="J58" s="66"/>
    </row>
    <row r="59" spans="1:10" x14ac:dyDescent="0.25">
      <c r="E59" s="66"/>
      <c r="F59" s="67"/>
      <c r="G59" s="67"/>
      <c r="H59" s="67">
        <f>SUM(H56:H58)</f>
        <v>4422.2222222222226</v>
      </c>
      <c r="I59" s="66" t="s">
        <v>199</v>
      </c>
      <c r="J59" s="66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3D5235BD8196459094D911B8306954" ma:contentTypeVersion="2" ma:contentTypeDescription="Create a new document." ma:contentTypeScope="" ma:versionID="7d3f95f98ad69006f1fda5377d559899">
  <xsd:schema xmlns:xsd="http://www.w3.org/2001/XMLSchema" xmlns:xs="http://www.w3.org/2001/XMLSchema" xmlns:p="http://schemas.microsoft.com/office/2006/metadata/properties" xmlns:ns2="20b2cda8-5da6-421f-9652-695d07a12471" targetNamespace="http://schemas.microsoft.com/office/2006/metadata/properties" ma:root="true" ma:fieldsID="68730a6f03420a00453edfbfef690766" ns2:_="">
    <xsd:import namespace="20b2cda8-5da6-421f-9652-695d07a124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b2cda8-5da6-421f-9652-695d07a124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87F659-7491-43F1-A375-E24331DE61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b2cda8-5da6-421f-9652-695d07a124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8CF0D1-32B6-4D0B-8662-80871E4D5FC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C97DC5F-F8B6-4738-9CD5-1BB27939E3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E1</vt:lpstr>
      <vt:lpstr>E2</vt:lpstr>
      <vt:lpstr>E5</vt:lpstr>
      <vt:lpstr>E6</vt:lpstr>
      <vt:lpstr>E7</vt:lpstr>
      <vt:lpstr>E8</vt:lpstr>
      <vt:lpstr>Q2</vt:lpstr>
      <vt:lpstr>Q4</vt:lpstr>
      <vt:lpstr>Q5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2022-07-18T07:26:07Z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0x0101009F3D5235BD8196459094D911B8306954</vt:lpwstr>
  </property>
</Properties>
</file>