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ali\Downloads\"/>
    </mc:Choice>
  </mc:AlternateContent>
  <bookViews>
    <workbookView xWindow="0" yWindow="0" windowWidth="7470" windowHeight="3840" tabRatio="736" firstSheet="1" activeTab="19"/>
  </bookViews>
  <sheets>
    <sheet name="Sheet1" sheetId="1" r:id="rId1"/>
    <sheet name="E1" sheetId="2" r:id="rId2"/>
    <sheet name="E2" sheetId="3" r:id="rId3"/>
    <sheet name="E3" sheetId="5" r:id="rId4"/>
    <sheet name="E4" sheetId="6" r:id="rId5"/>
    <sheet name="EAR" sheetId="7" r:id="rId6"/>
    <sheet name="E5" sheetId="8" r:id="rId7"/>
    <sheet name="E6" sheetId="9" r:id="rId8"/>
    <sheet name="E7" sheetId="10" r:id="rId9"/>
    <sheet name="E8" sheetId="11" r:id="rId10"/>
    <sheet name="E9" sheetId="12" r:id="rId11"/>
    <sheet name="E10" sheetId="13" r:id="rId12"/>
    <sheet name="E11" sheetId="14" r:id="rId13"/>
    <sheet name="E12" sheetId="15" r:id="rId14"/>
    <sheet name="E13" sheetId="16" r:id="rId15"/>
    <sheet name="E14" sheetId="17" r:id="rId16"/>
    <sheet name="Q1" sheetId="18" r:id="rId17"/>
    <sheet name="Q2" sheetId="19" r:id="rId18"/>
    <sheet name="Q3" sheetId="4" r:id="rId19"/>
    <sheet name="2021 Jul Q5" sheetId="2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4" l="1"/>
  <c r="C15" i="14"/>
  <c r="C13" i="14"/>
  <c r="C12" i="14"/>
  <c r="C11" i="14"/>
  <c r="C8" i="14"/>
  <c r="C6" i="14"/>
  <c r="C5" i="14"/>
  <c r="C10" i="12"/>
  <c r="C9" i="12"/>
  <c r="C8" i="12"/>
  <c r="C6" i="12"/>
  <c r="C5" i="12"/>
  <c r="C4" i="12"/>
  <c r="F14" i="11"/>
  <c r="C11" i="11"/>
  <c r="C6" i="11"/>
  <c r="E6" i="11" s="1"/>
  <c r="C5" i="11"/>
  <c r="E5" i="11" s="1"/>
  <c r="F34" i="10"/>
  <c r="D30" i="10"/>
  <c r="C29" i="10"/>
  <c r="C28" i="10"/>
  <c r="C23" i="10"/>
  <c r="C24" i="10" s="1"/>
  <c r="E22" i="10"/>
  <c r="F18" i="10"/>
  <c r="F17" i="10"/>
  <c r="D16" i="10"/>
  <c r="D13" i="10"/>
  <c r="C12" i="10"/>
  <c r="C11" i="10"/>
  <c r="C7" i="10"/>
  <c r="E7" i="10"/>
  <c r="F7" i="10"/>
  <c r="E6" i="10"/>
  <c r="C6" i="10"/>
  <c r="F6" i="10" s="1"/>
  <c r="F5" i="10"/>
  <c r="E5" i="10"/>
  <c r="C10" i="8"/>
  <c r="J17" i="7"/>
  <c r="H7" i="7"/>
  <c r="J7" i="7" s="1"/>
  <c r="I7" i="7"/>
  <c r="I8" i="7" s="1"/>
  <c r="I9" i="7" s="1"/>
  <c r="I10" i="7" s="1"/>
  <c r="I11" i="7" s="1"/>
  <c r="I12" i="7" s="1"/>
  <c r="I13" i="7" s="1"/>
  <c r="I14" i="7" s="1"/>
  <c r="I15" i="7" s="1"/>
  <c r="I16" i="7" s="1"/>
  <c r="J6" i="7"/>
  <c r="I6" i="7"/>
  <c r="H6" i="7"/>
  <c r="J5" i="7"/>
  <c r="B7" i="7"/>
  <c r="C21" i="6"/>
  <c r="C16" i="6"/>
  <c r="D8" i="6"/>
  <c r="D10" i="6"/>
  <c r="C12" i="11" l="1"/>
  <c r="C13" i="11" s="1"/>
  <c r="E7" i="11"/>
  <c r="C7" i="11"/>
  <c r="F5" i="11"/>
  <c r="D33" i="10"/>
  <c r="E23" i="10"/>
  <c r="F22" i="10"/>
  <c r="H8" i="7"/>
  <c r="D20" i="5"/>
  <c r="C13" i="5"/>
  <c r="C10" i="5"/>
  <c r="C10" i="3"/>
  <c r="C9" i="3"/>
  <c r="C8" i="3"/>
  <c r="C7" i="3"/>
  <c r="C6" i="3"/>
  <c r="C5" i="3"/>
  <c r="C4" i="3"/>
  <c r="C8" i="2"/>
  <c r="C7" i="2"/>
  <c r="C6" i="2"/>
  <c r="C5" i="2"/>
  <c r="C4" i="2"/>
  <c r="I16" i="20"/>
  <c r="H16" i="20"/>
  <c r="H14" i="20"/>
  <c r="G10" i="20"/>
  <c r="G9" i="20"/>
  <c r="G6" i="20"/>
  <c r="E10" i="20"/>
  <c r="C10" i="20"/>
  <c r="E9" i="20"/>
  <c r="C9" i="20"/>
  <c r="E8" i="20"/>
  <c r="C8" i="20"/>
  <c r="E7" i="20"/>
  <c r="C7" i="20"/>
  <c r="E6" i="20"/>
  <c r="C6" i="20"/>
  <c r="E5" i="20"/>
  <c r="C5" i="20"/>
  <c r="E106" i="1"/>
  <c r="C106" i="1"/>
  <c r="E90" i="1"/>
  <c r="C90" i="1"/>
  <c r="E74" i="1"/>
  <c r="C74" i="1"/>
  <c r="F6" i="11" l="1"/>
  <c r="F7" i="11" s="1"/>
  <c r="F15" i="11" s="1"/>
  <c r="E24" i="10"/>
  <c r="F23" i="10"/>
  <c r="F24" i="10" s="1"/>
  <c r="F35" i="10" s="1"/>
  <c r="J8" i="7"/>
  <c r="H9" i="7" s="1"/>
  <c r="K47" i="1"/>
  <c r="K49" i="1" s="1"/>
  <c r="J9" i="7" l="1"/>
  <c r="H10" i="7"/>
  <c r="J10" i="7" l="1"/>
  <c r="H11" i="7"/>
  <c r="J11" i="7" l="1"/>
  <c r="H12" i="7" s="1"/>
  <c r="J12" i="7" l="1"/>
  <c r="H13" i="7" s="1"/>
  <c r="J13" i="7" l="1"/>
  <c r="H14" i="7" s="1"/>
  <c r="J14" i="7" l="1"/>
  <c r="H15" i="7" s="1"/>
  <c r="J15" i="7" l="1"/>
  <c r="H16" i="7"/>
  <c r="J16" i="7" s="1"/>
</calcChain>
</file>

<file path=xl/sharedStrings.xml><?xml version="1.0" encoding="utf-8"?>
<sst xmlns="http://schemas.openxmlformats.org/spreadsheetml/2006/main" count="338" uniqueCount="252">
  <si>
    <t>Current Assets</t>
  </si>
  <si>
    <t>Current Liabilities</t>
  </si>
  <si>
    <t>Inventory</t>
  </si>
  <si>
    <t>Debtors</t>
  </si>
  <si>
    <t>Cash</t>
  </si>
  <si>
    <t>RM/WIP/FG</t>
  </si>
  <si>
    <t>Supplier</t>
  </si>
  <si>
    <t>Expense creditors</t>
  </si>
  <si>
    <t>Bank OD</t>
  </si>
  <si>
    <t>Cash generated</t>
  </si>
  <si>
    <t>Cash utilised</t>
  </si>
  <si>
    <t>Invested in current assets</t>
  </si>
  <si>
    <t>Working Capital</t>
  </si>
  <si>
    <t>Working Capital Management</t>
  </si>
  <si>
    <t>More cash</t>
  </si>
  <si>
    <t>Lower profit</t>
  </si>
  <si>
    <t>Less cash</t>
  </si>
  <si>
    <t>Lower Profit</t>
  </si>
  <si>
    <t>Enough cash</t>
  </si>
  <si>
    <t>Optimum profit</t>
  </si>
  <si>
    <t>Sacrifice the opportunity gain</t>
  </si>
  <si>
    <t>Production stopages</t>
  </si>
  <si>
    <t>Internal factors</t>
  </si>
  <si>
    <t>External factors</t>
  </si>
  <si>
    <t>Size of the business</t>
  </si>
  <si>
    <t>Hirachy</t>
  </si>
  <si>
    <t>Business growth</t>
  </si>
  <si>
    <t>Industry</t>
  </si>
  <si>
    <t>Management knowledge</t>
  </si>
  <si>
    <t>Management risk appetite</t>
  </si>
  <si>
    <t>Interets rate</t>
  </si>
  <si>
    <t>Exchange rate</t>
  </si>
  <si>
    <t>Inflation rate</t>
  </si>
  <si>
    <t>Competition</t>
  </si>
  <si>
    <t>Risk followers / Lovers</t>
  </si>
  <si>
    <t>Risk averse / hate</t>
  </si>
  <si>
    <t>Risk neutral</t>
  </si>
  <si>
    <t>Months</t>
  </si>
  <si>
    <t>Jan</t>
  </si>
  <si>
    <t>Feb</t>
  </si>
  <si>
    <t>Mar</t>
  </si>
  <si>
    <t>Apr</t>
  </si>
  <si>
    <t>Value Mn</t>
  </si>
  <si>
    <t>Higher</t>
  </si>
  <si>
    <t>Lower</t>
  </si>
  <si>
    <t>Permanent</t>
  </si>
  <si>
    <t>Temporary</t>
  </si>
  <si>
    <t>WC Requirement</t>
  </si>
  <si>
    <t>Rs.95Mn Own Money</t>
  </si>
  <si>
    <t>Rs.95Mn, outside</t>
  </si>
  <si>
    <t>Rs.35Mn own, Rs.60Mn outside</t>
  </si>
  <si>
    <t>Aggressive</t>
  </si>
  <si>
    <t>Concervative</t>
  </si>
  <si>
    <t>Moderate</t>
  </si>
  <si>
    <t>How much of working capital need</t>
  </si>
  <si>
    <t>How much of working capital need, calculation</t>
  </si>
  <si>
    <t>Raw material</t>
  </si>
  <si>
    <t>Suppliers</t>
  </si>
  <si>
    <t>Production</t>
  </si>
  <si>
    <t>FG Ware house</t>
  </si>
  <si>
    <t>40 days</t>
  </si>
  <si>
    <t>10 Days</t>
  </si>
  <si>
    <t>35 Days</t>
  </si>
  <si>
    <t>45 Days</t>
  </si>
  <si>
    <t>RM</t>
  </si>
  <si>
    <t>WIP</t>
  </si>
  <si>
    <t>FG</t>
  </si>
  <si>
    <t>Customer</t>
  </si>
  <si>
    <t>Material convert to cash in</t>
  </si>
  <si>
    <t>Almost 4 months</t>
  </si>
  <si>
    <t>(-) Creditors</t>
  </si>
  <si>
    <t>Working capital cycle</t>
  </si>
  <si>
    <t>Almost 3 months</t>
  </si>
  <si>
    <t>a)</t>
  </si>
  <si>
    <t>b)</t>
  </si>
  <si>
    <t>Risk</t>
  </si>
  <si>
    <t>WCM Approach</t>
  </si>
  <si>
    <t>Equity</t>
  </si>
  <si>
    <t>Long term Libility</t>
  </si>
  <si>
    <t>Short Term Liability</t>
  </si>
  <si>
    <t>Debentures</t>
  </si>
  <si>
    <t>Share capital</t>
  </si>
  <si>
    <t>Non Current assets</t>
  </si>
  <si>
    <t>PPE</t>
  </si>
  <si>
    <t>Current assets</t>
  </si>
  <si>
    <t>Permanent CA</t>
  </si>
  <si>
    <t>Volatile CA</t>
  </si>
  <si>
    <t>Inventory / Debtors / Cash / Current assets</t>
  </si>
  <si>
    <t>ABC Balance sheet - Conservative Approach</t>
  </si>
  <si>
    <t>ABC Balance sheet - Aggresive Approach</t>
  </si>
  <si>
    <t>ABC Balance sheet - Moderate Approach</t>
  </si>
  <si>
    <t>2021 - July Q6</t>
  </si>
  <si>
    <t>Question 3</t>
  </si>
  <si>
    <t>Net Profit Margin</t>
  </si>
  <si>
    <t>200,000/2,500,000*100</t>
  </si>
  <si>
    <t>180,000/2,000,000*100</t>
  </si>
  <si>
    <t>ROCE</t>
  </si>
  <si>
    <t>PBT + Interest / Equity + LTL</t>
  </si>
  <si>
    <t>200,000+(350,000*8%) / 1,000,000 + 350,000</t>
  </si>
  <si>
    <t>180,000+(300,000*8%) / 850,000 + 300,000</t>
  </si>
  <si>
    <t>Current ratio</t>
  </si>
  <si>
    <t>CA/CL</t>
  </si>
  <si>
    <t>(220+150+130)/(150+100)</t>
  </si>
  <si>
    <t>(250+180+120)/(120+130)</t>
  </si>
  <si>
    <t>Quick ratio</t>
  </si>
  <si>
    <t>(150+130)/(150+100)</t>
  </si>
  <si>
    <t>(180+120)/(120+130)</t>
  </si>
  <si>
    <t>CA-Inv. / CL</t>
  </si>
  <si>
    <t>Debtors residence period</t>
  </si>
  <si>
    <t>150/2,500*365D</t>
  </si>
  <si>
    <t>180/2,000*365D</t>
  </si>
  <si>
    <t>Inventory residence period</t>
  </si>
  <si>
    <t>220/(2,500*80%)*365D</t>
  </si>
  <si>
    <t>250/(2,000*80%)*365</t>
  </si>
  <si>
    <t>Inv./COS*365</t>
  </si>
  <si>
    <t>Deb / Sales *365</t>
  </si>
  <si>
    <t>01. The profitability of SDL has come down from 9% to 8% over the period.</t>
  </si>
  <si>
    <t>02. ROCE has come down by 0.85% (17.74-16.89) over the period and it is lower than the expected return of 20%</t>
  </si>
  <si>
    <t>03. The current ratio has not improved the over the period. Asset base has come down by 0.2.</t>
  </si>
  <si>
    <t>04. The liqudity of SDL ahs come down compared to previous year.</t>
  </si>
  <si>
    <t>05. Managing debtors has been improved over the period and it is satisfactory since holding period has been dropped by almost 11 days.</t>
  </si>
  <si>
    <t>05. Managing inventory also has been improved over the period and it is satisfactory. Inventory period has comedown by almost 17 days.</t>
  </si>
  <si>
    <t xml:space="preserve">01. The company has not achived the required return of 20% and it is sitting at 16.89%. This could be as result of poor management of working capital since company is maintaning  a siginificant amount of current asset base. </t>
  </si>
  <si>
    <t>02. Current assets are over capitalised. Specially company is maintaing higher inventory due to the longer lead time. This has caused the company to invest significant amount in inventory without a particular financial return.</t>
  </si>
  <si>
    <t>Solution to overcome above issues</t>
  </si>
  <si>
    <t xml:space="preserve">01. SDL can reduce the long term capital as to improve the ROCE. The company can settle the long therm loan with the fixed deposit and further company can delare dividents using the balnce FD and the cash balance. </t>
  </si>
  <si>
    <t xml:space="preserve">02. Negotiate with the suppliers to reduce the lead time, this in return will reduce the investment in inventory. </t>
  </si>
  <si>
    <t>03. Negotiate better payment terms with the suppliers, specially DFL.</t>
  </si>
  <si>
    <t xml:space="preserve">04. There is a significant amount of liquid cash which can be invest in short term investments. </t>
  </si>
  <si>
    <t>Exercise 01</t>
  </si>
  <si>
    <t>Receivable holding period</t>
  </si>
  <si>
    <t>365/11</t>
  </si>
  <si>
    <t>Days</t>
  </si>
  <si>
    <t>Inventory holding period</t>
  </si>
  <si>
    <t>365/9</t>
  </si>
  <si>
    <t>Payable holding period</t>
  </si>
  <si>
    <t>365/8</t>
  </si>
  <si>
    <t>Length of the working capital cycle</t>
  </si>
  <si>
    <t>Ave, Debtors</t>
  </si>
  <si>
    <t>Credit sales</t>
  </si>
  <si>
    <t>*365 d</t>
  </si>
  <si>
    <t>credit sales</t>
  </si>
  <si>
    <t>Exercise 2</t>
  </si>
  <si>
    <t>Raw material holding period</t>
  </si>
  <si>
    <t>(20+15)/2/180*365D</t>
  </si>
  <si>
    <t>Since direct material cost is not available COS was used</t>
  </si>
  <si>
    <t>WIP holding period</t>
  </si>
  <si>
    <t>(25+20)/2/180*365D</t>
  </si>
  <si>
    <t>Since direct production cost is not available COS was used</t>
  </si>
  <si>
    <t>Finished goods holding period</t>
  </si>
  <si>
    <t>(15+10)/2/180*365D</t>
  </si>
  <si>
    <t>(40+35)/2/225*365D</t>
  </si>
  <si>
    <t>It is assumed that sales is on credit</t>
  </si>
  <si>
    <t>Payables holding period</t>
  </si>
  <si>
    <t>(25+20)/2/100*365D</t>
  </si>
  <si>
    <t>It is assumed that purchase is on credit</t>
  </si>
  <si>
    <t>Length of working capital cycle</t>
  </si>
  <si>
    <t>Q=</t>
  </si>
  <si>
    <t>Exercise 3</t>
  </si>
  <si>
    <t>2*C*S</t>
  </si>
  <si>
    <t>I</t>
  </si>
  <si>
    <t>2*4Mn*24Mn</t>
  </si>
  <si>
    <t>12%-9%</t>
  </si>
  <si>
    <t>FN should raise Rs.80Mn at a time to minimize fund raosing cost and holding cost</t>
  </si>
  <si>
    <t>80/24</t>
  </si>
  <si>
    <t>Fund will be raised once a 3.33 years</t>
  </si>
  <si>
    <t>Exercise 4</t>
  </si>
  <si>
    <t>Spread</t>
  </si>
  <si>
    <t>=</t>
  </si>
  <si>
    <t>3*</t>
  </si>
  <si>
    <t>3/4 * (transaction cost*Variance of CF)</t>
  </si>
  <si>
    <t>Interest rate</t>
  </si>
  <si>
    <t>^ 1/3</t>
  </si>
  <si>
    <t>3/4*(50*4,000,000) ^1/3</t>
  </si>
  <si>
    <t>Return point =</t>
  </si>
  <si>
    <t>Lower limit + 1/3 of spread</t>
  </si>
  <si>
    <t>8,000 + 1/3*25,302.98</t>
  </si>
  <si>
    <t>8,000+8,434.33</t>
  </si>
  <si>
    <t>Upper limit =</t>
  </si>
  <si>
    <t>Lower limit + spread</t>
  </si>
  <si>
    <t>8,000 + 25,302.98</t>
  </si>
  <si>
    <t>Interest rate 15% pa compounded monthly basis</t>
  </si>
  <si>
    <t>r=</t>
  </si>
  <si>
    <t>(1+r/n)^n-1</t>
  </si>
  <si>
    <t>(1+15%/12)^12-1</t>
  </si>
  <si>
    <t>Interest</t>
  </si>
  <si>
    <t>Exercise 5</t>
  </si>
  <si>
    <t>Interest yield</t>
  </si>
  <si>
    <t>Market price</t>
  </si>
  <si>
    <t>*100</t>
  </si>
  <si>
    <t>Exercise 7</t>
  </si>
  <si>
    <t>Sales</t>
  </si>
  <si>
    <t>Rs.Mn</t>
  </si>
  <si>
    <t>Exisitng</t>
  </si>
  <si>
    <t>New</t>
  </si>
  <si>
    <t>(-) Variable cost</t>
  </si>
  <si>
    <t>Additonal contribution</t>
  </si>
  <si>
    <t>Benefit</t>
  </si>
  <si>
    <t>Additonal cost</t>
  </si>
  <si>
    <t>Increase in debtors</t>
  </si>
  <si>
    <t>At present</t>
  </si>
  <si>
    <t>2400*1/12</t>
  </si>
  <si>
    <t>3000*2/12</t>
  </si>
  <si>
    <t>Increase in creditors</t>
  </si>
  <si>
    <t>Increase in inventory</t>
  </si>
  <si>
    <t>Additonal cost on additonal working capital</t>
  </si>
  <si>
    <t>380*20%</t>
  </si>
  <si>
    <t>Cost</t>
  </si>
  <si>
    <t>Net gain on relaxxation of credit policy</t>
  </si>
  <si>
    <t>Implement the credit relaxation</t>
  </si>
  <si>
    <t>2,400*1/12</t>
  </si>
  <si>
    <t>2,400*1/12 + 600*2/12</t>
  </si>
  <si>
    <t>180*20%</t>
  </si>
  <si>
    <t>Exercise 8</t>
  </si>
  <si>
    <t>50*12</t>
  </si>
  <si>
    <t>40*12%</t>
  </si>
  <si>
    <t>600*30/360</t>
  </si>
  <si>
    <t>720*60/360</t>
  </si>
  <si>
    <t>70*12.5%</t>
  </si>
  <si>
    <t>Exercise 9</t>
  </si>
  <si>
    <t>Exisitng debtors</t>
  </si>
  <si>
    <t>12,000*90/360</t>
  </si>
  <si>
    <t>New debtors</t>
  </si>
  <si>
    <t>(12,000*50%*60/360)+(12,000*50%*10/360)</t>
  </si>
  <si>
    <t>Reduction of working capital</t>
  </si>
  <si>
    <t>Saving on finance cost</t>
  </si>
  <si>
    <t>1,833.33*20%</t>
  </si>
  <si>
    <t>Discount cost</t>
  </si>
  <si>
    <t>12,000*50%*2%</t>
  </si>
  <si>
    <t>Net saving</t>
  </si>
  <si>
    <t>Implement the discounting strategy</t>
  </si>
  <si>
    <t>Exercise 11</t>
  </si>
  <si>
    <t>Exisitng cost of receivables (own credit control divison)</t>
  </si>
  <si>
    <t>Finance cost</t>
  </si>
  <si>
    <t>Base + 3%</t>
  </si>
  <si>
    <t>Base</t>
  </si>
  <si>
    <t>Base + 2.5%</t>
  </si>
  <si>
    <t>1,500*45/360*13.5%</t>
  </si>
  <si>
    <t>Bad debts</t>
  </si>
  <si>
    <t>1,500*0.5%</t>
  </si>
  <si>
    <t>Admin cost</t>
  </si>
  <si>
    <t>Exisitng cost of managing debtors</t>
  </si>
  <si>
    <t>Cost of factoring</t>
  </si>
  <si>
    <t>Factor finance</t>
  </si>
  <si>
    <t>1,500*80%*30/360*14%</t>
  </si>
  <si>
    <t>Finance cost on balance 20%</t>
  </si>
  <si>
    <t>1,500*20%*30/360*13.5%</t>
  </si>
  <si>
    <t>Annual fee</t>
  </si>
  <si>
    <t>1,500*2.5%</t>
  </si>
  <si>
    <t>Saving on factorying</t>
  </si>
  <si>
    <t>It is recommanded to implement the factoring</t>
  </si>
  <si>
    <t>It is assumed that factor takes the bad debts risk (non-recourse)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</si>
</sst>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u val="doubleAccounting"/>
      <sz val="11"/>
      <color theme="1"/>
      <name val="Calibri"/>
      <family val="2"/>
      <scheme val="minor"/>
    </font>
    <font>
      <u val="double"/>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3" fillId="0" borderId="0" xfId="0" applyFont="1"/>
    <xf numFmtId="0" fontId="4" fillId="0" borderId="0" xfId="0" applyFont="1"/>
    <xf numFmtId="0" fontId="2" fillId="0" borderId="0" xfId="0" applyFont="1"/>
    <xf numFmtId="0" fontId="0" fillId="0" borderId="0" xfId="0" applyAlignment="1">
      <alignment horizontal="right"/>
    </xf>
    <xf numFmtId="43" fontId="0" fillId="0" borderId="0" xfId="1" applyFont="1"/>
    <xf numFmtId="43" fontId="0" fillId="0" borderId="0" xfId="0" applyNumberFormat="1"/>
    <xf numFmtId="43" fontId="0" fillId="0" borderId="1" xfId="0" applyNumberFormat="1" applyBorder="1"/>
    <xf numFmtId="10" fontId="0" fillId="0" borderId="0" xfId="0" applyNumberFormat="1"/>
    <xf numFmtId="0" fontId="5" fillId="0" borderId="0" xfId="0" applyFont="1"/>
    <xf numFmtId="0" fontId="0" fillId="0" borderId="0" xfId="0" applyAlignment="1">
      <alignment horizontal="center"/>
    </xf>
    <xf numFmtId="0" fontId="0" fillId="2" borderId="0" xfId="0" applyFill="1" applyAlignment="1">
      <alignment wrapText="1"/>
    </xf>
    <xf numFmtId="10" fontId="0" fillId="0" borderId="0" xfId="2" applyNumberFormat="1" applyFont="1"/>
    <xf numFmtId="2" fontId="0" fillId="0" borderId="0" xfId="0" applyNumberFormat="1"/>
    <xf numFmtId="43" fontId="0" fillId="0" borderId="1" xfId="1" applyFont="1" applyBorder="1"/>
    <xf numFmtId="43" fontId="0" fillId="0" borderId="2" xfId="1" applyFont="1" applyBorder="1"/>
    <xf numFmtId="43" fontId="0" fillId="0" borderId="3" xfId="1" applyFont="1" applyBorder="1"/>
    <xf numFmtId="43" fontId="6" fillId="0" borderId="0" xfId="1" applyFont="1"/>
    <xf numFmtId="0" fontId="0" fillId="0" borderId="0" xfId="0" quotePrefix="1"/>
    <xf numFmtId="10" fontId="0" fillId="0" borderId="0" xfId="0" applyNumberFormat="1" applyAlignment="1">
      <alignment horizontal="center"/>
    </xf>
    <xf numFmtId="43" fontId="0" fillId="0" borderId="3" xfId="0" applyNumberFormat="1" applyBorder="1"/>
    <xf numFmtId="164" fontId="0" fillId="0" borderId="0" xfId="0" applyNumberFormat="1"/>
    <xf numFmtId="0" fontId="0" fillId="0" borderId="2" xfId="0" applyFont="1" applyBorder="1"/>
    <xf numFmtId="10" fontId="7" fillId="0" borderId="0" xfId="2" applyNumberFormat="1" applyFont="1"/>
    <xf numFmtId="9" fontId="0" fillId="0" borderId="0" xfId="0" applyNumberFormat="1"/>
    <xf numFmtId="43" fontId="2" fillId="0" borderId="0" xfId="0" applyNumberFormat="1" applyFont="1"/>
    <xf numFmtId="0" fontId="0" fillId="0" borderId="0" xfId="0" applyFont="1" applyAlignment="1">
      <alignment horizontal="left" indent="4"/>
    </xf>
    <xf numFmtId="0" fontId="0" fillId="0" borderId="0" xfId="0" applyAlignment="1">
      <alignment horizontal="left" indent="4"/>
    </xf>
    <xf numFmtId="43" fontId="2" fillId="0" borderId="0" xfId="1" applyFont="1"/>
    <xf numFmtId="43" fontId="2" fillId="0" borderId="1" xfId="0" applyNumberFormat="1" applyFont="1" applyBorder="1"/>
    <xf numFmtId="43" fontId="3" fillId="0" borderId="1" xfId="0" applyNumberFormat="1" applyFont="1" applyBorder="1"/>
    <xf numFmtId="43" fontId="4" fillId="0" borderId="1" xfId="0" applyNumberFormat="1" applyFont="1" applyBorder="1"/>
    <xf numFmtId="0" fontId="3" fillId="2" borderId="0" xfId="0" applyFont="1" applyFill="1" applyAlignment="1">
      <alignment horizontal="center"/>
    </xf>
    <xf numFmtId="0" fontId="0" fillId="0" borderId="0" xfId="0" applyAlignment="1">
      <alignment horizontal="center"/>
    </xf>
    <xf numFmtId="0" fontId="0" fillId="0" borderId="0" xfId="0"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314325</xdr:colOff>
      <xdr:row>6</xdr:row>
      <xdr:rowOff>66675</xdr:rowOff>
    </xdr:from>
    <xdr:to>
      <xdr:col>12</xdr:col>
      <xdr:colOff>276225</xdr:colOff>
      <xdr:row>11</xdr:row>
      <xdr:rowOff>123825</xdr:rowOff>
    </xdr:to>
    <xdr:sp macro="" textlink="">
      <xdr:nvSpPr>
        <xdr:cNvPr id="2" name="Moon 1">
          <a:extLst>
            <a:ext uri="{FF2B5EF4-FFF2-40B4-BE49-F238E27FC236}">
              <a16:creationId xmlns:a16="http://schemas.microsoft.com/office/drawing/2014/main" xmlns="" id="{FE2F8F75-0E02-9987-BE38-8CD5EE51D9CB}"/>
            </a:ext>
          </a:extLst>
        </xdr:cNvPr>
        <xdr:cNvSpPr/>
      </xdr:nvSpPr>
      <xdr:spPr>
        <a:xfrm rot="16200000">
          <a:off x="7181850" y="514350"/>
          <a:ext cx="1009650" cy="2400300"/>
        </a:xfrm>
        <a:prstGeom prst="moon">
          <a:avLst>
            <a:gd name="adj" fmla="val 723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a:t>
          </a:r>
        </a:p>
      </xdr:txBody>
    </xdr:sp>
    <xdr:clientData/>
  </xdr:twoCellAnchor>
  <xdr:twoCellAnchor>
    <xdr:from>
      <xdr:col>14</xdr:col>
      <xdr:colOff>190500</xdr:colOff>
      <xdr:row>6</xdr:row>
      <xdr:rowOff>76200</xdr:rowOff>
    </xdr:from>
    <xdr:to>
      <xdr:col>18</xdr:col>
      <xdr:colOff>152400</xdr:colOff>
      <xdr:row>11</xdr:row>
      <xdr:rowOff>133350</xdr:rowOff>
    </xdr:to>
    <xdr:sp macro="" textlink="">
      <xdr:nvSpPr>
        <xdr:cNvPr id="3" name="Moon 2">
          <a:extLst>
            <a:ext uri="{FF2B5EF4-FFF2-40B4-BE49-F238E27FC236}">
              <a16:creationId xmlns:a16="http://schemas.microsoft.com/office/drawing/2014/main" xmlns="" id="{CF3281CB-DF42-404D-A087-61F731AE3E74}"/>
            </a:ext>
          </a:extLst>
        </xdr:cNvPr>
        <xdr:cNvSpPr/>
      </xdr:nvSpPr>
      <xdr:spPr>
        <a:xfrm rot="16200000">
          <a:off x="10715625" y="523875"/>
          <a:ext cx="1009650" cy="2400300"/>
        </a:xfrm>
        <a:prstGeom prst="moon">
          <a:avLst>
            <a:gd name="adj" fmla="val 723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2</xdr:row>
      <xdr:rowOff>95250</xdr:rowOff>
    </xdr:from>
    <xdr:to>
      <xdr:col>16</xdr:col>
      <xdr:colOff>152400</xdr:colOff>
      <xdr:row>3</xdr:row>
      <xdr:rowOff>0</xdr:rowOff>
    </xdr:to>
    <xdr:sp macro="" textlink="">
      <xdr:nvSpPr>
        <xdr:cNvPr id="4" name="Rectangle 3">
          <a:extLst>
            <a:ext uri="{FF2B5EF4-FFF2-40B4-BE49-F238E27FC236}">
              <a16:creationId xmlns:a16="http://schemas.microsoft.com/office/drawing/2014/main" xmlns="" id="{77E6C291-2D4E-9BE4-9B62-10BCB8D1A8FA}"/>
            </a:ext>
          </a:extLst>
        </xdr:cNvPr>
        <xdr:cNvSpPr/>
      </xdr:nvSpPr>
      <xdr:spPr>
        <a:xfrm>
          <a:off x="7705725" y="476250"/>
          <a:ext cx="3495675" cy="95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314325</xdr:colOff>
      <xdr:row>3</xdr:row>
      <xdr:rowOff>0</xdr:rowOff>
    </xdr:from>
    <xdr:to>
      <xdr:col>10</xdr:col>
      <xdr:colOff>257175</xdr:colOff>
      <xdr:row>6</xdr:row>
      <xdr:rowOff>66675</xdr:rowOff>
    </xdr:to>
    <xdr:cxnSp macro="">
      <xdr:nvCxnSpPr>
        <xdr:cNvPr id="6" name="Straight Connector 5">
          <a:extLst>
            <a:ext uri="{FF2B5EF4-FFF2-40B4-BE49-F238E27FC236}">
              <a16:creationId xmlns:a16="http://schemas.microsoft.com/office/drawing/2014/main" xmlns="" id="{7D865E63-50B9-4A39-FA1F-707B910CF545}"/>
            </a:ext>
          </a:extLst>
        </xdr:cNvPr>
        <xdr:cNvCxnSpPr>
          <a:endCxn id="2" idx="0"/>
        </xdr:cNvCxnSpPr>
      </xdr:nvCxnSpPr>
      <xdr:spPr>
        <a:xfrm flipH="1">
          <a:off x="6486525" y="571500"/>
          <a:ext cx="1162050" cy="638175"/>
        </a:xfrm>
        <a:prstGeom prst="line">
          <a:avLst/>
        </a:prstGeo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285750</xdr:colOff>
      <xdr:row>3</xdr:row>
      <xdr:rowOff>9525</xdr:rowOff>
    </xdr:from>
    <xdr:to>
      <xdr:col>12</xdr:col>
      <xdr:colOff>276225</xdr:colOff>
      <xdr:row>6</xdr:row>
      <xdr:rowOff>66675</xdr:rowOff>
    </xdr:to>
    <xdr:cxnSp macro="">
      <xdr:nvCxnSpPr>
        <xdr:cNvPr id="7" name="Straight Connector 6">
          <a:extLst>
            <a:ext uri="{FF2B5EF4-FFF2-40B4-BE49-F238E27FC236}">
              <a16:creationId xmlns:a16="http://schemas.microsoft.com/office/drawing/2014/main" xmlns="" id="{9AF9E8D5-4807-4EBC-BABE-010F37011369}"/>
            </a:ext>
          </a:extLst>
        </xdr:cNvPr>
        <xdr:cNvCxnSpPr>
          <a:endCxn id="2" idx="2"/>
        </xdr:cNvCxnSpPr>
      </xdr:nvCxnSpPr>
      <xdr:spPr>
        <a:xfrm>
          <a:off x="7677150" y="581025"/>
          <a:ext cx="1209675" cy="628650"/>
        </a:xfrm>
        <a:prstGeom prst="line">
          <a:avLst/>
        </a:prstGeo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200025</xdr:colOff>
      <xdr:row>3</xdr:row>
      <xdr:rowOff>0</xdr:rowOff>
    </xdr:from>
    <xdr:to>
      <xdr:col>16</xdr:col>
      <xdr:colOff>142875</xdr:colOff>
      <xdr:row>6</xdr:row>
      <xdr:rowOff>66675</xdr:rowOff>
    </xdr:to>
    <xdr:cxnSp macro="">
      <xdr:nvCxnSpPr>
        <xdr:cNvPr id="10" name="Straight Connector 9">
          <a:extLst>
            <a:ext uri="{FF2B5EF4-FFF2-40B4-BE49-F238E27FC236}">
              <a16:creationId xmlns:a16="http://schemas.microsoft.com/office/drawing/2014/main" xmlns="" id="{A3E8AEC2-7837-45F7-9FCD-4A5F7E61E991}"/>
            </a:ext>
          </a:extLst>
        </xdr:cNvPr>
        <xdr:cNvCxnSpPr/>
      </xdr:nvCxnSpPr>
      <xdr:spPr>
        <a:xfrm flipH="1">
          <a:off x="10029825" y="571500"/>
          <a:ext cx="1162050" cy="638175"/>
        </a:xfrm>
        <a:prstGeom prst="line">
          <a:avLst/>
        </a:prstGeo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152400</xdr:colOff>
      <xdr:row>2</xdr:row>
      <xdr:rowOff>142875</xdr:rowOff>
    </xdr:from>
    <xdr:to>
      <xdr:col>18</xdr:col>
      <xdr:colOff>152400</xdr:colOff>
      <xdr:row>6</xdr:row>
      <xdr:rowOff>76200</xdr:rowOff>
    </xdr:to>
    <xdr:cxnSp macro="">
      <xdr:nvCxnSpPr>
        <xdr:cNvPr id="11" name="Straight Connector 10">
          <a:extLst>
            <a:ext uri="{FF2B5EF4-FFF2-40B4-BE49-F238E27FC236}">
              <a16:creationId xmlns:a16="http://schemas.microsoft.com/office/drawing/2014/main" xmlns="" id="{C549FC3A-FC55-43E7-AE21-EE918347174A}"/>
            </a:ext>
          </a:extLst>
        </xdr:cNvPr>
        <xdr:cNvCxnSpPr>
          <a:stCxn id="4" idx="3"/>
          <a:endCxn id="3" idx="2"/>
        </xdr:cNvCxnSpPr>
      </xdr:nvCxnSpPr>
      <xdr:spPr>
        <a:xfrm>
          <a:off x="11201400" y="523875"/>
          <a:ext cx="1219200" cy="695325"/>
        </a:xfrm>
        <a:prstGeom prst="line">
          <a:avLst/>
        </a:prstGeo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161925</xdr:colOff>
      <xdr:row>1</xdr:row>
      <xdr:rowOff>9525</xdr:rowOff>
    </xdr:from>
    <xdr:to>
      <xdr:col>13</xdr:col>
      <xdr:colOff>285750</xdr:colOff>
      <xdr:row>3</xdr:row>
      <xdr:rowOff>19050</xdr:rowOff>
    </xdr:to>
    <xdr:sp macro="" textlink="">
      <xdr:nvSpPr>
        <xdr:cNvPr id="15" name="Rectangle 14">
          <a:extLst>
            <a:ext uri="{FF2B5EF4-FFF2-40B4-BE49-F238E27FC236}">
              <a16:creationId xmlns:a16="http://schemas.microsoft.com/office/drawing/2014/main" xmlns="" id="{42D32F9F-8DF7-4F39-D5F8-A64DFEE48B9D}"/>
            </a:ext>
          </a:extLst>
        </xdr:cNvPr>
        <xdr:cNvSpPr/>
      </xdr:nvSpPr>
      <xdr:spPr>
        <a:xfrm>
          <a:off x="9382125" y="200025"/>
          <a:ext cx="123825" cy="390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257175</xdr:colOff>
      <xdr:row>8</xdr:row>
      <xdr:rowOff>152400</xdr:rowOff>
    </xdr:from>
    <xdr:to>
      <xdr:col>11</xdr:col>
      <xdr:colOff>304800</xdr:colOff>
      <xdr:row>10</xdr:row>
      <xdr:rowOff>114300</xdr:rowOff>
    </xdr:to>
    <xdr:sp macro="" textlink="">
      <xdr:nvSpPr>
        <xdr:cNvPr id="16" name="TextBox 15">
          <a:extLst>
            <a:ext uri="{FF2B5EF4-FFF2-40B4-BE49-F238E27FC236}">
              <a16:creationId xmlns:a16="http://schemas.microsoft.com/office/drawing/2014/main" xmlns="" id="{85E5C050-5D90-EC36-2297-EA75F6CB21C6}"/>
            </a:ext>
          </a:extLst>
        </xdr:cNvPr>
        <xdr:cNvSpPr txBox="1"/>
      </xdr:nvSpPr>
      <xdr:spPr>
        <a:xfrm>
          <a:off x="7038975" y="1676400"/>
          <a:ext cx="12668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Profitabi</a:t>
          </a:r>
          <a:r>
            <a:rPr lang="en-US" sz="1100">
              <a:solidFill>
                <a:schemeClr val="dk1"/>
              </a:solidFill>
              <a:effectLst/>
              <a:latin typeface="+mn-lt"/>
              <a:ea typeface="+mn-ea"/>
              <a:cs typeface="+mn-cs"/>
            </a:rPr>
            <a:t>tability</a:t>
          </a:r>
          <a:endParaRPr lang="en-US" sz="1100"/>
        </a:p>
      </xdr:txBody>
    </xdr:sp>
    <xdr:clientData/>
  </xdr:twoCellAnchor>
  <xdr:twoCellAnchor>
    <xdr:from>
      <xdr:col>15</xdr:col>
      <xdr:colOff>219075</xdr:colOff>
      <xdr:row>8</xdr:row>
      <xdr:rowOff>95250</xdr:rowOff>
    </xdr:from>
    <xdr:to>
      <xdr:col>17</xdr:col>
      <xdr:colOff>266700</xdr:colOff>
      <xdr:row>10</xdr:row>
      <xdr:rowOff>57150</xdr:rowOff>
    </xdr:to>
    <xdr:sp macro="" textlink="">
      <xdr:nvSpPr>
        <xdr:cNvPr id="17" name="TextBox 16">
          <a:extLst>
            <a:ext uri="{FF2B5EF4-FFF2-40B4-BE49-F238E27FC236}">
              <a16:creationId xmlns:a16="http://schemas.microsoft.com/office/drawing/2014/main" xmlns="" id="{529DE8F5-D3D3-491F-8C27-EDF870D2BCA0}"/>
            </a:ext>
          </a:extLst>
        </xdr:cNvPr>
        <xdr:cNvSpPr txBox="1"/>
      </xdr:nvSpPr>
      <xdr:spPr>
        <a:xfrm>
          <a:off x="10658475" y="1619250"/>
          <a:ext cx="12668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Liquidity</a:t>
          </a:r>
          <a:endParaRPr lang="en-US" sz="1100"/>
        </a:p>
      </xdr:txBody>
    </xdr:sp>
    <xdr:clientData/>
  </xdr:twoCellAnchor>
  <xdr:twoCellAnchor>
    <xdr:from>
      <xdr:col>2</xdr:col>
      <xdr:colOff>0</xdr:colOff>
      <xdr:row>24</xdr:row>
      <xdr:rowOff>76200</xdr:rowOff>
    </xdr:from>
    <xdr:to>
      <xdr:col>2</xdr:col>
      <xdr:colOff>0</xdr:colOff>
      <xdr:row>38</xdr:row>
      <xdr:rowOff>19050</xdr:rowOff>
    </xdr:to>
    <xdr:cxnSp macro="">
      <xdr:nvCxnSpPr>
        <xdr:cNvPr id="20" name="Straight Arrow Connector 19">
          <a:extLst>
            <a:ext uri="{FF2B5EF4-FFF2-40B4-BE49-F238E27FC236}">
              <a16:creationId xmlns:a16="http://schemas.microsoft.com/office/drawing/2014/main" xmlns="" id="{AD9B5749-0C62-3D2C-DE51-A5F26E038087}"/>
            </a:ext>
          </a:extLst>
        </xdr:cNvPr>
        <xdr:cNvCxnSpPr/>
      </xdr:nvCxnSpPr>
      <xdr:spPr>
        <a:xfrm flipV="1">
          <a:off x="1543050" y="4648200"/>
          <a:ext cx="0" cy="26098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180975</xdr:rowOff>
    </xdr:from>
    <xdr:to>
      <xdr:col>6</xdr:col>
      <xdr:colOff>85725</xdr:colOff>
      <xdr:row>37</xdr:row>
      <xdr:rowOff>180975</xdr:rowOff>
    </xdr:to>
    <xdr:cxnSp macro="">
      <xdr:nvCxnSpPr>
        <xdr:cNvPr id="22" name="Straight Arrow Connector 21">
          <a:extLst>
            <a:ext uri="{FF2B5EF4-FFF2-40B4-BE49-F238E27FC236}">
              <a16:creationId xmlns:a16="http://schemas.microsoft.com/office/drawing/2014/main" xmlns="" id="{6E377AA3-E3DE-41D8-8C70-4DA7F092F800}"/>
            </a:ext>
          </a:extLst>
        </xdr:cNvPr>
        <xdr:cNvCxnSpPr/>
      </xdr:nvCxnSpPr>
      <xdr:spPr>
        <a:xfrm>
          <a:off x="1543050" y="7229475"/>
          <a:ext cx="3143250"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28</xdr:row>
      <xdr:rowOff>47625</xdr:rowOff>
    </xdr:from>
    <xdr:to>
      <xdr:col>5</xdr:col>
      <xdr:colOff>1039738</xdr:colOff>
      <xdr:row>34</xdr:row>
      <xdr:rowOff>124526</xdr:rowOff>
    </xdr:to>
    <xdr:sp macro="" textlink="">
      <xdr:nvSpPr>
        <xdr:cNvPr id="27" name="Freeform: Shape 26">
          <a:extLst>
            <a:ext uri="{FF2B5EF4-FFF2-40B4-BE49-F238E27FC236}">
              <a16:creationId xmlns:a16="http://schemas.microsoft.com/office/drawing/2014/main" xmlns="" id="{D6FBC6D4-82CB-93A3-39A4-43E4413E5EDC}"/>
            </a:ext>
          </a:extLst>
        </xdr:cNvPr>
        <xdr:cNvSpPr/>
      </xdr:nvSpPr>
      <xdr:spPr>
        <a:xfrm>
          <a:off x="2397629" y="5232074"/>
          <a:ext cx="4218240" cy="1187854"/>
        </a:xfrm>
        <a:custGeom>
          <a:avLst/>
          <a:gdLst>
            <a:gd name="connsiteX0" fmla="*/ 0 w 3019425"/>
            <a:gd name="connsiteY0" fmla="*/ 904875 h 1219901"/>
            <a:gd name="connsiteX1" fmla="*/ 9525 w 3019425"/>
            <a:gd name="connsiteY1" fmla="*/ 800100 h 1219901"/>
            <a:gd name="connsiteX2" fmla="*/ 142875 w 3019425"/>
            <a:gd name="connsiteY2" fmla="*/ 447675 h 1219901"/>
            <a:gd name="connsiteX3" fmla="*/ 161925 w 3019425"/>
            <a:gd name="connsiteY3" fmla="*/ 381000 h 1219901"/>
            <a:gd name="connsiteX4" fmla="*/ 200025 w 3019425"/>
            <a:gd name="connsiteY4" fmla="*/ 295275 h 1219901"/>
            <a:gd name="connsiteX5" fmla="*/ 238125 w 3019425"/>
            <a:gd name="connsiteY5" fmla="*/ 285750 h 1219901"/>
            <a:gd name="connsiteX6" fmla="*/ 276225 w 3019425"/>
            <a:gd name="connsiteY6" fmla="*/ 428625 h 1219901"/>
            <a:gd name="connsiteX7" fmla="*/ 285750 w 3019425"/>
            <a:gd name="connsiteY7" fmla="*/ 476250 h 1219901"/>
            <a:gd name="connsiteX8" fmla="*/ 304800 w 3019425"/>
            <a:gd name="connsiteY8" fmla="*/ 552450 h 1219901"/>
            <a:gd name="connsiteX9" fmla="*/ 314325 w 3019425"/>
            <a:gd name="connsiteY9" fmla="*/ 600075 h 1219901"/>
            <a:gd name="connsiteX10" fmla="*/ 342900 w 3019425"/>
            <a:gd name="connsiteY10" fmla="*/ 647700 h 1219901"/>
            <a:gd name="connsiteX11" fmla="*/ 371475 w 3019425"/>
            <a:gd name="connsiteY11" fmla="*/ 638175 h 1219901"/>
            <a:gd name="connsiteX12" fmla="*/ 390525 w 3019425"/>
            <a:gd name="connsiteY12" fmla="*/ 609600 h 1219901"/>
            <a:gd name="connsiteX13" fmla="*/ 409575 w 3019425"/>
            <a:gd name="connsiteY13" fmla="*/ 523875 h 1219901"/>
            <a:gd name="connsiteX14" fmla="*/ 428625 w 3019425"/>
            <a:gd name="connsiteY14" fmla="*/ 485775 h 1219901"/>
            <a:gd name="connsiteX15" fmla="*/ 447675 w 3019425"/>
            <a:gd name="connsiteY15" fmla="*/ 400050 h 1219901"/>
            <a:gd name="connsiteX16" fmla="*/ 457200 w 3019425"/>
            <a:gd name="connsiteY16" fmla="*/ 352425 h 1219901"/>
            <a:gd name="connsiteX17" fmla="*/ 504825 w 3019425"/>
            <a:gd name="connsiteY17" fmla="*/ 276225 h 1219901"/>
            <a:gd name="connsiteX18" fmla="*/ 523875 w 3019425"/>
            <a:gd name="connsiteY18" fmla="*/ 238125 h 1219901"/>
            <a:gd name="connsiteX19" fmla="*/ 581025 w 3019425"/>
            <a:gd name="connsiteY19" fmla="*/ 180975 h 1219901"/>
            <a:gd name="connsiteX20" fmla="*/ 638175 w 3019425"/>
            <a:gd name="connsiteY20" fmla="*/ 209550 h 1219901"/>
            <a:gd name="connsiteX21" fmla="*/ 695325 w 3019425"/>
            <a:gd name="connsiteY21" fmla="*/ 295275 h 1219901"/>
            <a:gd name="connsiteX22" fmla="*/ 771525 w 3019425"/>
            <a:gd name="connsiteY22" fmla="*/ 381000 h 1219901"/>
            <a:gd name="connsiteX23" fmla="*/ 819150 w 3019425"/>
            <a:gd name="connsiteY23" fmla="*/ 390525 h 1219901"/>
            <a:gd name="connsiteX24" fmla="*/ 981075 w 3019425"/>
            <a:gd name="connsiteY24" fmla="*/ 361950 h 1219901"/>
            <a:gd name="connsiteX25" fmla="*/ 1009650 w 3019425"/>
            <a:gd name="connsiteY25" fmla="*/ 352425 h 1219901"/>
            <a:gd name="connsiteX26" fmla="*/ 1038225 w 3019425"/>
            <a:gd name="connsiteY26" fmla="*/ 304800 h 1219901"/>
            <a:gd name="connsiteX27" fmla="*/ 1066800 w 3019425"/>
            <a:gd name="connsiteY27" fmla="*/ 266700 h 1219901"/>
            <a:gd name="connsiteX28" fmla="*/ 1114425 w 3019425"/>
            <a:gd name="connsiteY28" fmla="*/ 180975 h 1219901"/>
            <a:gd name="connsiteX29" fmla="*/ 1190625 w 3019425"/>
            <a:gd name="connsiteY29" fmla="*/ 76200 h 1219901"/>
            <a:gd name="connsiteX30" fmla="*/ 1247775 w 3019425"/>
            <a:gd name="connsiteY30" fmla="*/ 9525 h 1219901"/>
            <a:gd name="connsiteX31" fmla="*/ 1285875 w 3019425"/>
            <a:gd name="connsiteY31" fmla="*/ 76200 h 1219901"/>
            <a:gd name="connsiteX32" fmla="*/ 1304925 w 3019425"/>
            <a:gd name="connsiteY32" fmla="*/ 104775 h 1219901"/>
            <a:gd name="connsiteX33" fmla="*/ 1343025 w 3019425"/>
            <a:gd name="connsiteY33" fmla="*/ 180975 h 1219901"/>
            <a:gd name="connsiteX34" fmla="*/ 1343025 w 3019425"/>
            <a:gd name="connsiteY34" fmla="*/ 180975 h 1219901"/>
            <a:gd name="connsiteX35" fmla="*/ 1371600 w 3019425"/>
            <a:gd name="connsiteY35" fmla="*/ 247650 h 1219901"/>
            <a:gd name="connsiteX36" fmla="*/ 1409700 w 3019425"/>
            <a:gd name="connsiteY36" fmla="*/ 304800 h 1219901"/>
            <a:gd name="connsiteX37" fmla="*/ 1438275 w 3019425"/>
            <a:gd name="connsiteY37" fmla="*/ 314325 h 1219901"/>
            <a:gd name="connsiteX38" fmla="*/ 1476375 w 3019425"/>
            <a:gd name="connsiteY38" fmla="*/ 285750 h 1219901"/>
            <a:gd name="connsiteX39" fmla="*/ 1495425 w 3019425"/>
            <a:gd name="connsiteY39" fmla="*/ 257175 h 1219901"/>
            <a:gd name="connsiteX40" fmla="*/ 1533525 w 3019425"/>
            <a:gd name="connsiteY40" fmla="*/ 247650 h 1219901"/>
            <a:gd name="connsiteX41" fmla="*/ 1571625 w 3019425"/>
            <a:gd name="connsiteY41" fmla="*/ 333375 h 1219901"/>
            <a:gd name="connsiteX42" fmla="*/ 1590675 w 3019425"/>
            <a:gd name="connsiteY42" fmla="*/ 400050 h 1219901"/>
            <a:gd name="connsiteX43" fmla="*/ 1600200 w 3019425"/>
            <a:gd name="connsiteY43" fmla="*/ 428625 h 1219901"/>
            <a:gd name="connsiteX44" fmla="*/ 1609725 w 3019425"/>
            <a:gd name="connsiteY44" fmla="*/ 495300 h 1219901"/>
            <a:gd name="connsiteX45" fmla="*/ 1628775 w 3019425"/>
            <a:gd name="connsiteY45" fmla="*/ 561975 h 1219901"/>
            <a:gd name="connsiteX46" fmla="*/ 1647825 w 3019425"/>
            <a:gd name="connsiteY46" fmla="*/ 638175 h 1219901"/>
            <a:gd name="connsiteX47" fmla="*/ 1666875 w 3019425"/>
            <a:gd name="connsiteY47" fmla="*/ 714375 h 1219901"/>
            <a:gd name="connsiteX48" fmla="*/ 1685925 w 3019425"/>
            <a:gd name="connsiteY48" fmla="*/ 742950 h 1219901"/>
            <a:gd name="connsiteX49" fmla="*/ 1704975 w 3019425"/>
            <a:gd name="connsiteY49" fmla="*/ 790575 h 1219901"/>
            <a:gd name="connsiteX50" fmla="*/ 1733550 w 3019425"/>
            <a:gd name="connsiteY50" fmla="*/ 838200 h 1219901"/>
            <a:gd name="connsiteX51" fmla="*/ 1743075 w 3019425"/>
            <a:gd name="connsiteY51" fmla="*/ 866775 h 1219901"/>
            <a:gd name="connsiteX52" fmla="*/ 1781175 w 3019425"/>
            <a:gd name="connsiteY52" fmla="*/ 962025 h 1219901"/>
            <a:gd name="connsiteX53" fmla="*/ 1800225 w 3019425"/>
            <a:gd name="connsiteY53" fmla="*/ 1019175 h 1219901"/>
            <a:gd name="connsiteX54" fmla="*/ 1819275 w 3019425"/>
            <a:gd name="connsiteY54" fmla="*/ 1066800 h 1219901"/>
            <a:gd name="connsiteX55" fmla="*/ 1838325 w 3019425"/>
            <a:gd name="connsiteY55" fmla="*/ 1133475 h 1219901"/>
            <a:gd name="connsiteX56" fmla="*/ 1866900 w 3019425"/>
            <a:gd name="connsiteY56" fmla="*/ 1171575 h 1219901"/>
            <a:gd name="connsiteX57" fmla="*/ 1905000 w 3019425"/>
            <a:gd name="connsiteY57" fmla="*/ 1219200 h 1219901"/>
            <a:gd name="connsiteX58" fmla="*/ 1914525 w 3019425"/>
            <a:gd name="connsiteY58" fmla="*/ 1190625 h 1219901"/>
            <a:gd name="connsiteX59" fmla="*/ 1924050 w 3019425"/>
            <a:gd name="connsiteY59" fmla="*/ 1095375 h 1219901"/>
            <a:gd name="connsiteX60" fmla="*/ 1943100 w 3019425"/>
            <a:gd name="connsiteY60" fmla="*/ 1038225 h 1219901"/>
            <a:gd name="connsiteX61" fmla="*/ 1981200 w 3019425"/>
            <a:gd name="connsiteY61" fmla="*/ 952500 h 1219901"/>
            <a:gd name="connsiteX62" fmla="*/ 2019300 w 3019425"/>
            <a:gd name="connsiteY62" fmla="*/ 895350 h 1219901"/>
            <a:gd name="connsiteX63" fmla="*/ 2066925 w 3019425"/>
            <a:gd name="connsiteY63" fmla="*/ 790575 h 1219901"/>
            <a:gd name="connsiteX64" fmla="*/ 2105025 w 3019425"/>
            <a:gd name="connsiteY64" fmla="*/ 723900 h 1219901"/>
            <a:gd name="connsiteX65" fmla="*/ 2152650 w 3019425"/>
            <a:gd name="connsiteY65" fmla="*/ 628650 h 1219901"/>
            <a:gd name="connsiteX66" fmla="*/ 2181225 w 3019425"/>
            <a:gd name="connsiteY66" fmla="*/ 581025 h 1219901"/>
            <a:gd name="connsiteX67" fmla="*/ 2209800 w 3019425"/>
            <a:gd name="connsiteY67" fmla="*/ 523875 h 1219901"/>
            <a:gd name="connsiteX68" fmla="*/ 2238375 w 3019425"/>
            <a:gd name="connsiteY68" fmla="*/ 514350 h 1219901"/>
            <a:gd name="connsiteX69" fmla="*/ 2257425 w 3019425"/>
            <a:gd name="connsiteY69" fmla="*/ 581025 h 1219901"/>
            <a:gd name="connsiteX70" fmla="*/ 2324100 w 3019425"/>
            <a:gd name="connsiteY70" fmla="*/ 685800 h 1219901"/>
            <a:gd name="connsiteX71" fmla="*/ 2362200 w 3019425"/>
            <a:gd name="connsiteY71" fmla="*/ 657225 h 1219901"/>
            <a:gd name="connsiteX72" fmla="*/ 2381250 w 3019425"/>
            <a:gd name="connsiteY72" fmla="*/ 581025 h 1219901"/>
            <a:gd name="connsiteX73" fmla="*/ 2400300 w 3019425"/>
            <a:gd name="connsiteY73" fmla="*/ 542925 h 1219901"/>
            <a:gd name="connsiteX74" fmla="*/ 2409825 w 3019425"/>
            <a:gd name="connsiteY74" fmla="*/ 485775 h 1219901"/>
            <a:gd name="connsiteX75" fmla="*/ 2438400 w 3019425"/>
            <a:gd name="connsiteY75" fmla="*/ 371475 h 1219901"/>
            <a:gd name="connsiteX76" fmla="*/ 2447925 w 3019425"/>
            <a:gd name="connsiteY76" fmla="*/ 295275 h 1219901"/>
            <a:gd name="connsiteX77" fmla="*/ 2476500 w 3019425"/>
            <a:gd name="connsiteY77" fmla="*/ 200025 h 1219901"/>
            <a:gd name="connsiteX78" fmla="*/ 2524125 w 3019425"/>
            <a:gd name="connsiteY78" fmla="*/ 266700 h 1219901"/>
            <a:gd name="connsiteX79" fmla="*/ 2552700 w 3019425"/>
            <a:gd name="connsiteY79" fmla="*/ 238125 h 1219901"/>
            <a:gd name="connsiteX80" fmla="*/ 2571750 w 3019425"/>
            <a:gd name="connsiteY80" fmla="*/ 180975 h 1219901"/>
            <a:gd name="connsiteX81" fmla="*/ 2600325 w 3019425"/>
            <a:gd name="connsiteY81" fmla="*/ 133350 h 1219901"/>
            <a:gd name="connsiteX82" fmla="*/ 2638425 w 3019425"/>
            <a:gd name="connsiteY82" fmla="*/ 9525 h 1219901"/>
            <a:gd name="connsiteX83" fmla="*/ 2667000 w 3019425"/>
            <a:gd name="connsiteY83" fmla="*/ 0 h 1219901"/>
            <a:gd name="connsiteX84" fmla="*/ 2695575 w 3019425"/>
            <a:gd name="connsiteY84" fmla="*/ 38100 h 1219901"/>
            <a:gd name="connsiteX85" fmla="*/ 2705100 w 3019425"/>
            <a:gd name="connsiteY85" fmla="*/ 66675 h 1219901"/>
            <a:gd name="connsiteX86" fmla="*/ 2733675 w 3019425"/>
            <a:gd name="connsiteY86" fmla="*/ 104775 h 1219901"/>
            <a:gd name="connsiteX87" fmla="*/ 2752725 w 3019425"/>
            <a:gd name="connsiteY87" fmla="*/ 161925 h 1219901"/>
            <a:gd name="connsiteX88" fmla="*/ 2771775 w 3019425"/>
            <a:gd name="connsiteY88" fmla="*/ 209550 h 1219901"/>
            <a:gd name="connsiteX89" fmla="*/ 2781300 w 3019425"/>
            <a:gd name="connsiteY89" fmla="*/ 257175 h 1219901"/>
            <a:gd name="connsiteX90" fmla="*/ 2809875 w 3019425"/>
            <a:gd name="connsiteY90" fmla="*/ 304800 h 1219901"/>
            <a:gd name="connsiteX91" fmla="*/ 2847975 w 3019425"/>
            <a:gd name="connsiteY91" fmla="*/ 400050 h 1219901"/>
            <a:gd name="connsiteX92" fmla="*/ 2867025 w 3019425"/>
            <a:gd name="connsiteY92" fmla="*/ 447675 h 1219901"/>
            <a:gd name="connsiteX93" fmla="*/ 2895600 w 3019425"/>
            <a:gd name="connsiteY93" fmla="*/ 495300 h 1219901"/>
            <a:gd name="connsiteX94" fmla="*/ 2914650 w 3019425"/>
            <a:gd name="connsiteY94" fmla="*/ 533400 h 1219901"/>
            <a:gd name="connsiteX95" fmla="*/ 2943225 w 3019425"/>
            <a:gd name="connsiteY95" fmla="*/ 561975 h 1219901"/>
            <a:gd name="connsiteX96" fmla="*/ 2952750 w 3019425"/>
            <a:gd name="connsiteY96" fmla="*/ 590550 h 1219901"/>
            <a:gd name="connsiteX97" fmla="*/ 2962275 w 3019425"/>
            <a:gd name="connsiteY97" fmla="*/ 628650 h 1219901"/>
            <a:gd name="connsiteX98" fmla="*/ 3009900 w 3019425"/>
            <a:gd name="connsiteY98" fmla="*/ 685800 h 1219901"/>
            <a:gd name="connsiteX99" fmla="*/ 3019425 w 3019425"/>
            <a:gd name="connsiteY99" fmla="*/ 723900 h 12199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Lst>
          <a:rect l="l" t="t" r="r" b="b"/>
          <a:pathLst>
            <a:path w="3019425" h="1219901">
              <a:moveTo>
                <a:pt x="0" y="904875"/>
              </a:moveTo>
              <a:cubicBezTo>
                <a:pt x="3175" y="869950"/>
                <a:pt x="-935" y="833573"/>
                <a:pt x="9525" y="800100"/>
              </a:cubicBezTo>
              <a:cubicBezTo>
                <a:pt x="46989" y="680214"/>
                <a:pt x="112412" y="569528"/>
                <a:pt x="142875" y="447675"/>
              </a:cubicBezTo>
              <a:cubicBezTo>
                <a:pt x="172652" y="328568"/>
                <a:pt x="134596" y="476653"/>
                <a:pt x="161925" y="381000"/>
              </a:cubicBezTo>
              <a:cubicBezTo>
                <a:pt x="170944" y="349434"/>
                <a:pt x="171781" y="319484"/>
                <a:pt x="200025" y="295275"/>
              </a:cubicBezTo>
              <a:cubicBezTo>
                <a:pt x="209964" y="286756"/>
                <a:pt x="225425" y="288925"/>
                <a:pt x="238125" y="285750"/>
              </a:cubicBezTo>
              <a:cubicBezTo>
                <a:pt x="255661" y="347125"/>
                <a:pt x="261431" y="364519"/>
                <a:pt x="276225" y="428625"/>
              </a:cubicBezTo>
              <a:cubicBezTo>
                <a:pt x="279865" y="444400"/>
                <a:pt x="282110" y="460475"/>
                <a:pt x="285750" y="476250"/>
              </a:cubicBezTo>
              <a:cubicBezTo>
                <a:pt x="291637" y="501761"/>
                <a:pt x="299665" y="526777"/>
                <a:pt x="304800" y="552450"/>
              </a:cubicBezTo>
              <a:cubicBezTo>
                <a:pt x="307975" y="568325"/>
                <a:pt x="308312" y="585044"/>
                <a:pt x="314325" y="600075"/>
              </a:cubicBezTo>
              <a:cubicBezTo>
                <a:pt x="321201" y="617264"/>
                <a:pt x="333375" y="631825"/>
                <a:pt x="342900" y="647700"/>
              </a:cubicBezTo>
              <a:cubicBezTo>
                <a:pt x="352425" y="644525"/>
                <a:pt x="363635" y="644447"/>
                <a:pt x="371475" y="638175"/>
              </a:cubicBezTo>
              <a:cubicBezTo>
                <a:pt x="380414" y="631024"/>
                <a:pt x="386016" y="620122"/>
                <a:pt x="390525" y="609600"/>
              </a:cubicBezTo>
              <a:cubicBezTo>
                <a:pt x="399682" y="588235"/>
                <a:pt x="402794" y="544218"/>
                <a:pt x="409575" y="523875"/>
              </a:cubicBezTo>
              <a:cubicBezTo>
                <a:pt x="414065" y="510405"/>
                <a:pt x="422275" y="498475"/>
                <a:pt x="428625" y="485775"/>
              </a:cubicBezTo>
              <a:cubicBezTo>
                <a:pt x="457353" y="342136"/>
                <a:pt x="420772" y="521114"/>
                <a:pt x="447675" y="400050"/>
              </a:cubicBezTo>
              <a:cubicBezTo>
                <a:pt x="451187" y="384246"/>
                <a:pt x="452080" y="367784"/>
                <a:pt x="457200" y="352425"/>
              </a:cubicBezTo>
              <a:cubicBezTo>
                <a:pt x="470991" y="311052"/>
                <a:pt x="481548" y="313468"/>
                <a:pt x="504825" y="276225"/>
              </a:cubicBezTo>
              <a:cubicBezTo>
                <a:pt x="512350" y="264184"/>
                <a:pt x="515005" y="249213"/>
                <a:pt x="523875" y="238125"/>
              </a:cubicBezTo>
              <a:cubicBezTo>
                <a:pt x="540705" y="217088"/>
                <a:pt x="581025" y="180975"/>
                <a:pt x="581025" y="180975"/>
              </a:cubicBezTo>
              <a:cubicBezTo>
                <a:pt x="600075" y="190500"/>
                <a:pt x="621544" y="196245"/>
                <a:pt x="638175" y="209550"/>
              </a:cubicBezTo>
              <a:cubicBezTo>
                <a:pt x="676254" y="240013"/>
                <a:pt x="673393" y="258722"/>
                <a:pt x="695325" y="295275"/>
              </a:cubicBezTo>
              <a:cubicBezTo>
                <a:pt x="715493" y="328889"/>
                <a:pt x="733648" y="364166"/>
                <a:pt x="771525" y="381000"/>
              </a:cubicBezTo>
              <a:cubicBezTo>
                <a:pt x="786319" y="387575"/>
                <a:pt x="803275" y="387350"/>
                <a:pt x="819150" y="390525"/>
              </a:cubicBezTo>
              <a:cubicBezTo>
                <a:pt x="873125" y="381000"/>
                <a:pt x="927330" y="372699"/>
                <a:pt x="981075" y="361950"/>
              </a:cubicBezTo>
              <a:cubicBezTo>
                <a:pt x="990920" y="359981"/>
                <a:pt x="1002550" y="359525"/>
                <a:pt x="1009650" y="352425"/>
              </a:cubicBezTo>
              <a:cubicBezTo>
                <a:pt x="1022741" y="339334"/>
                <a:pt x="1027956" y="320204"/>
                <a:pt x="1038225" y="304800"/>
              </a:cubicBezTo>
              <a:cubicBezTo>
                <a:pt x="1047031" y="291591"/>
                <a:pt x="1058480" y="280220"/>
                <a:pt x="1066800" y="266700"/>
              </a:cubicBezTo>
              <a:cubicBezTo>
                <a:pt x="1083932" y="238860"/>
                <a:pt x="1096610" y="208383"/>
                <a:pt x="1114425" y="180975"/>
              </a:cubicBezTo>
              <a:cubicBezTo>
                <a:pt x="1137960" y="144767"/>
                <a:pt x="1166670" y="112132"/>
                <a:pt x="1190625" y="76200"/>
              </a:cubicBezTo>
              <a:cubicBezTo>
                <a:pt x="1234208" y="10826"/>
                <a:pt x="1178825" y="61237"/>
                <a:pt x="1247775" y="9525"/>
              </a:cubicBezTo>
              <a:cubicBezTo>
                <a:pt x="1302060" y="63810"/>
                <a:pt x="1257093" y="9042"/>
                <a:pt x="1285875" y="76200"/>
              </a:cubicBezTo>
              <a:cubicBezTo>
                <a:pt x="1290384" y="86722"/>
                <a:pt x="1299443" y="94725"/>
                <a:pt x="1304925" y="104775"/>
              </a:cubicBezTo>
              <a:cubicBezTo>
                <a:pt x="1318523" y="129706"/>
                <a:pt x="1330325" y="155575"/>
                <a:pt x="1343025" y="180975"/>
              </a:cubicBezTo>
              <a:lnTo>
                <a:pt x="1343025" y="180975"/>
              </a:lnTo>
              <a:cubicBezTo>
                <a:pt x="1352879" y="210536"/>
                <a:pt x="1353945" y="218225"/>
                <a:pt x="1371600" y="247650"/>
              </a:cubicBezTo>
              <a:cubicBezTo>
                <a:pt x="1383380" y="267283"/>
                <a:pt x="1387980" y="297560"/>
                <a:pt x="1409700" y="304800"/>
              </a:cubicBezTo>
              <a:lnTo>
                <a:pt x="1438275" y="314325"/>
              </a:lnTo>
              <a:cubicBezTo>
                <a:pt x="1450975" y="304800"/>
                <a:pt x="1465150" y="296975"/>
                <a:pt x="1476375" y="285750"/>
              </a:cubicBezTo>
              <a:cubicBezTo>
                <a:pt x="1484470" y="277655"/>
                <a:pt x="1485900" y="263525"/>
                <a:pt x="1495425" y="257175"/>
              </a:cubicBezTo>
              <a:cubicBezTo>
                <a:pt x="1506317" y="249913"/>
                <a:pt x="1520825" y="250825"/>
                <a:pt x="1533525" y="247650"/>
              </a:cubicBezTo>
              <a:cubicBezTo>
                <a:pt x="1555172" y="290943"/>
                <a:pt x="1553382" y="284728"/>
                <a:pt x="1571625" y="333375"/>
              </a:cubicBezTo>
              <a:cubicBezTo>
                <a:pt x="1585328" y="369915"/>
                <a:pt x="1578665" y="358017"/>
                <a:pt x="1590675" y="400050"/>
              </a:cubicBezTo>
              <a:cubicBezTo>
                <a:pt x="1593433" y="409704"/>
                <a:pt x="1597025" y="419100"/>
                <a:pt x="1600200" y="428625"/>
              </a:cubicBezTo>
              <a:cubicBezTo>
                <a:pt x="1603375" y="450850"/>
                <a:pt x="1605709" y="473211"/>
                <a:pt x="1609725" y="495300"/>
              </a:cubicBezTo>
              <a:cubicBezTo>
                <a:pt x="1618378" y="542893"/>
                <a:pt x="1617646" y="521170"/>
                <a:pt x="1628775" y="561975"/>
              </a:cubicBezTo>
              <a:cubicBezTo>
                <a:pt x="1635664" y="587234"/>
                <a:pt x="1642690" y="612502"/>
                <a:pt x="1647825" y="638175"/>
              </a:cubicBezTo>
              <a:cubicBezTo>
                <a:pt x="1651448" y="656289"/>
                <a:pt x="1657112" y="694849"/>
                <a:pt x="1666875" y="714375"/>
              </a:cubicBezTo>
              <a:cubicBezTo>
                <a:pt x="1671995" y="724614"/>
                <a:pt x="1680805" y="732711"/>
                <a:pt x="1685925" y="742950"/>
              </a:cubicBezTo>
              <a:cubicBezTo>
                <a:pt x="1693571" y="758243"/>
                <a:pt x="1697329" y="775282"/>
                <a:pt x="1704975" y="790575"/>
              </a:cubicBezTo>
              <a:cubicBezTo>
                <a:pt x="1713254" y="807134"/>
                <a:pt x="1725271" y="821641"/>
                <a:pt x="1733550" y="838200"/>
              </a:cubicBezTo>
              <a:cubicBezTo>
                <a:pt x="1738040" y="847180"/>
                <a:pt x="1739471" y="857404"/>
                <a:pt x="1743075" y="866775"/>
              </a:cubicBezTo>
              <a:cubicBezTo>
                <a:pt x="1755351" y="898691"/>
                <a:pt x="1770361" y="929584"/>
                <a:pt x="1781175" y="962025"/>
              </a:cubicBezTo>
              <a:cubicBezTo>
                <a:pt x="1787525" y="981075"/>
                <a:pt x="1792767" y="1000531"/>
                <a:pt x="1800225" y="1019175"/>
              </a:cubicBezTo>
              <a:cubicBezTo>
                <a:pt x="1806575" y="1035050"/>
                <a:pt x="1813868" y="1050580"/>
                <a:pt x="1819275" y="1066800"/>
              </a:cubicBezTo>
              <a:cubicBezTo>
                <a:pt x="1822987" y="1077935"/>
                <a:pt x="1830987" y="1120633"/>
                <a:pt x="1838325" y="1133475"/>
              </a:cubicBezTo>
              <a:cubicBezTo>
                <a:pt x="1846201" y="1147258"/>
                <a:pt x="1857375" y="1158875"/>
                <a:pt x="1866900" y="1171575"/>
              </a:cubicBezTo>
              <a:cubicBezTo>
                <a:pt x="1870910" y="1183604"/>
                <a:pt x="1878487" y="1225828"/>
                <a:pt x="1905000" y="1219200"/>
              </a:cubicBezTo>
              <a:cubicBezTo>
                <a:pt x="1914740" y="1216765"/>
                <a:pt x="1911350" y="1200150"/>
                <a:pt x="1914525" y="1190625"/>
              </a:cubicBezTo>
              <a:cubicBezTo>
                <a:pt x="1917700" y="1158875"/>
                <a:pt x="1918170" y="1126737"/>
                <a:pt x="1924050" y="1095375"/>
              </a:cubicBezTo>
              <a:cubicBezTo>
                <a:pt x="1927751" y="1075638"/>
                <a:pt x="1935642" y="1056869"/>
                <a:pt x="1943100" y="1038225"/>
              </a:cubicBezTo>
              <a:cubicBezTo>
                <a:pt x="1954565" y="1009563"/>
                <a:pt x="1965182" y="979196"/>
                <a:pt x="1981200" y="952500"/>
              </a:cubicBezTo>
              <a:cubicBezTo>
                <a:pt x="1992980" y="932867"/>
                <a:pt x="2008588" y="915585"/>
                <a:pt x="2019300" y="895350"/>
              </a:cubicBezTo>
              <a:cubicBezTo>
                <a:pt x="2037250" y="861445"/>
                <a:pt x="2049768" y="824889"/>
                <a:pt x="2066925" y="790575"/>
              </a:cubicBezTo>
              <a:cubicBezTo>
                <a:pt x="2078373" y="767680"/>
                <a:pt x="2093048" y="746523"/>
                <a:pt x="2105025" y="723900"/>
              </a:cubicBezTo>
              <a:cubicBezTo>
                <a:pt x="2121634" y="692528"/>
                <a:pt x="2135945" y="659971"/>
                <a:pt x="2152650" y="628650"/>
              </a:cubicBezTo>
              <a:cubicBezTo>
                <a:pt x="2161362" y="612315"/>
                <a:pt x="2172946" y="597584"/>
                <a:pt x="2181225" y="581025"/>
              </a:cubicBezTo>
              <a:cubicBezTo>
                <a:pt x="2192729" y="558018"/>
                <a:pt x="2187052" y="542073"/>
                <a:pt x="2209800" y="523875"/>
              </a:cubicBezTo>
              <a:cubicBezTo>
                <a:pt x="2217640" y="517603"/>
                <a:pt x="2228850" y="517525"/>
                <a:pt x="2238375" y="514350"/>
              </a:cubicBezTo>
              <a:cubicBezTo>
                <a:pt x="2244725" y="536575"/>
                <a:pt x="2248320" y="559780"/>
                <a:pt x="2257425" y="581025"/>
              </a:cubicBezTo>
              <a:cubicBezTo>
                <a:pt x="2276582" y="625724"/>
                <a:pt x="2296799" y="649399"/>
                <a:pt x="2324100" y="685800"/>
              </a:cubicBezTo>
              <a:cubicBezTo>
                <a:pt x="2336800" y="676275"/>
                <a:pt x="2354598" y="671162"/>
                <a:pt x="2362200" y="657225"/>
              </a:cubicBezTo>
              <a:cubicBezTo>
                <a:pt x="2374737" y="634240"/>
                <a:pt x="2369541" y="604443"/>
                <a:pt x="2381250" y="581025"/>
              </a:cubicBezTo>
              <a:lnTo>
                <a:pt x="2400300" y="542925"/>
              </a:lnTo>
              <a:cubicBezTo>
                <a:pt x="2403475" y="523875"/>
                <a:pt x="2405635" y="504628"/>
                <a:pt x="2409825" y="485775"/>
              </a:cubicBezTo>
              <a:cubicBezTo>
                <a:pt x="2418344" y="447438"/>
                <a:pt x="2430698" y="409985"/>
                <a:pt x="2438400" y="371475"/>
              </a:cubicBezTo>
              <a:cubicBezTo>
                <a:pt x="2443420" y="346374"/>
                <a:pt x="2442905" y="320376"/>
                <a:pt x="2447925" y="295275"/>
              </a:cubicBezTo>
              <a:cubicBezTo>
                <a:pt x="2453377" y="268015"/>
                <a:pt x="2466770" y="229214"/>
                <a:pt x="2476500" y="200025"/>
              </a:cubicBezTo>
              <a:cubicBezTo>
                <a:pt x="2481222" y="209469"/>
                <a:pt x="2504817" y="266700"/>
                <a:pt x="2524125" y="266700"/>
              </a:cubicBezTo>
              <a:cubicBezTo>
                <a:pt x="2537595" y="266700"/>
                <a:pt x="2543175" y="247650"/>
                <a:pt x="2552700" y="238125"/>
              </a:cubicBezTo>
              <a:cubicBezTo>
                <a:pt x="2559050" y="219075"/>
                <a:pt x="2563441" y="199256"/>
                <a:pt x="2571750" y="180975"/>
              </a:cubicBezTo>
              <a:cubicBezTo>
                <a:pt x="2579411" y="164121"/>
                <a:pt x="2593679" y="150629"/>
                <a:pt x="2600325" y="133350"/>
              </a:cubicBezTo>
              <a:cubicBezTo>
                <a:pt x="2605805" y="119101"/>
                <a:pt x="2621221" y="30170"/>
                <a:pt x="2638425" y="9525"/>
              </a:cubicBezTo>
              <a:cubicBezTo>
                <a:pt x="2644853" y="1812"/>
                <a:pt x="2657475" y="3175"/>
                <a:pt x="2667000" y="0"/>
              </a:cubicBezTo>
              <a:cubicBezTo>
                <a:pt x="2676525" y="12700"/>
                <a:pt x="2687699" y="24317"/>
                <a:pt x="2695575" y="38100"/>
              </a:cubicBezTo>
              <a:cubicBezTo>
                <a:pt x="2700556" y="46817"/>
                <a:pt x="2700119" y="57958"/>
                <a:pt x="2705100" y="66675"/>
              </a:cubicBezTo>
              <a:cubicBezTo>
                <a:pt x="2712976" y="80458"/>
                <a:pt x="2724150" y="92075"/>
                <a:pt x="2733675" y="104775"/>
              </a:cubicBezTo>
              <a:cubicBezTo>
                <a:pt x="2740025" y="123825"/>
                <a:pt x="2745863" y="143054"/>
                <a:pt x="2752725" y="161925"/>
              </a:cubicBezTo>
              <a:cubicBezTo>
                <a:pt x="2758568" y="177993"/>
                <a:pt x="2766862" y="193173"/>
                <a:pt x="2771775" y="209550"/>
              </a:cubicBezTo>
              <a:cubicBezTo>
                <a:pt x="2776427" y="225057"/>
                <a:pt x="2775287" y="242144"/>
                <a:pt x="2781300" y="257175"/>
              </a:cubicBezTo>
              <a:cubicBezTo>
                <a:pt x="2788176" y="274364"/>
                <a:pt x="2802046" y="288024"/>
                <a:pt x="2809875" y="304800"/>
              </a:cubicBezTo>
              <a:cubicBezTo>
                <a:pt x="2824336" y="335788"/>
                <a:pt x="2835275" y="368300"/>
                <a:pt x="2847975" y="400050"/>
              </a:cubicBezTo>
              <a:cubicBezTo>
                <a:pt x="2854325" y="415925"/>
                <a:pt x="2858228" y="433014"/>
                <a:pt x="2867025" y="447675"/>
              </a:cubicBezTo>
              <a:cubicBezTo>
                <a:pt x="2876550" y="463550"/>
                <a:pt x="2886609" y="479116"/>
                <a:pt x="2895600" y="495300"/>
              </a:cubicBezTo>
              <a:cubicBezTo>
                <a:pt x="2902496" y="507712"/>
                <a:pt x="2906397" y="521846"/>
                <a:pt x="2914650" y="533400"/>
              </a:cubicBezTo>
              <a:cubicBezTo>
                <a:pt x="2922480" y="544361"/>
                <a:pt x="2933700" y="552450"/>
                <a:pt x="2943225" y="561975"/>
              </a:cubicBezTo>
              <a:cubicBezTo>
                <a:pt x="2946400" y="571500"/>
                <a:pt x="2949992" y="580896"/>
                <a:pt x="2952750" y="590550"/>
              </a:cubicBezTo>
              <a:cubicBezTo>
                <a:pt x="2956346" y="603137"/>
                <a:pt x="2957118" y="616618"/>
                <a:pt x="2962275" y="628650"/>
              </a:cubicBezTo>
              <a:cubicBezTo>
                <a:pt x="2972221" y="651857"/>
                <a:pt x="2992736" y="668636"/>
                <a:pt x="3009900" y="685800"/>
              </a:cubicBezTo>
              <a:lnTo>
                <a:pt x="3019425" y="72390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1751887</xdr:colOff>
      <xdr:row>28</xdr:row>
      <xdr:rowOff>0</xdr:rowOff>
    </xdr:from>
    <xdr:to>
      <xdr:col>6</xdr:col>
      <xdr:colOff>400050</xdr:colOff>
      <xdr:row>28</xdr:row>
      <xdr:rowOff>14243</xdr:rowOff>
    </xdr:to>
    <xdr:cxnSp macro="">
      <xdr:nvCxnSpPr>
        <xdr:cNvPr id="29" name="Straight Connector 28">
          <a:extLst>
            <a:ext uri="{FF2B5EF4-FFF2-40B4-BE49-F238E27FC236}">
              <a16:creationId xmlns:a16="http://schemas.microsoft.com/office/drawing/2014/main" xmlns="" id="{BDACEB55-5A64-3515-3C78-47AD1D93517D}"/>
            </a:ext>
          </a:extLst>
        </xdr:cNvPr>
        <xdr:cNvCxnSpPr/>
      </xdr:nvCxnSpPr>
      <xdr:spPr>
        <a:xfrm flipV="1">
          <a:off x="2364336" y="5184449"/>
          <a:ext cx="4658705" cy="14243"/>
        </a:xfrm>
        <a:prstGeom prst="line">
          <a:avLst/>
        </a:prstGeom>
        <a:ln w="28575">
          <a:prstDash val="lg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38100</xdr:colOff>
      <xdr:row>34</xdr:row>
      <xdr:rowOff>114300</xdr:rowOff>
    </xdr:from>
    <xdr:to>
      <xdr:col>6</xdr:col>
      <xdr:colOff>457200</xdr:colOff>
      <xdr:row>34</xdr:row>
      <xdr:rowOff>123825</xdr:rowOff>
    </xdr:to>
    <xdr:cxnSp macro="">
      <xdr:nvCxnSpPr>
        <xdr:cNvPr id="32" name="Straight Connector 31">
          <a:extLst>
            <a:ext uri="{FF2B5EF4-FFF2-40B4-BE49-F238E27FC236}">
              <a16:creationId xmlns:a16="http://schemas.microsoft.com/office/drawing/2014/main" xmlns="" id="{8FDB4DFA-1B02-420F-AA4C-555EC763B361}"/>
            </a:ext>
          </a:extLst>
        </xdr:cNvPr>
        <xdr:cNvCxnSpPr/>
      </xdr:nvCxnSpPr>
      <xdr:spPr>
        <a:xfrm flipV="1">
          <a:off x="1581150" y="6591300"/>
          <a:ext cx="3476625" cy="9525"/>
        </a:xfrm>
        <a:prstGeom prst="line">
          <a:avLst/>
        </a:prstGeom>
        <a:ln w="28575">
          <a:prstDash val="lg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523875</xdr:colOff>
      <xdr:row>34</xdr:row>
      <xdr:rowOff>152400</xdr:rowOff>
    </xdr:from>
    <xdr:to>
      <xdr:col>7</xdr:col>
      <xdr:colOff>342900</xdr:colOff>
      <xdr:row>38</xdr:row>
      <xdr:rowOff>38100</xdr:rowOff>
    </xdr:to>
    <xdr:sp macro="" textlink="">
      <xdr:nvSpPr>
        <xdr:cNvPr id="33" name="Right Brace 32">
          <a:extLst>
            <a:ext uri="{FF2B5EF4-FFF2-40B4-BE49-F238E27FC236}">
              <a16:creationId xmlns:a16="http://schemas.microsoft.com/office/drawing/2014/main" xmlns="" id="{DBC08D4C-428F-21EE-57C5-CB91E0691A9E}"/>
            </a:ext>
          </a:extLst>
        </xdr:cNvPr>
        <xdr:cNvSpPr/>
      </xdr:nvSpPr>
      <xdr:spPr>
        <a:xfrm>
          <a:off x="5124450" y="6629400"/>
          <a:ext cx="428625" cy="6477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57150</xdr:colOff>
      <xdr:row>28</xdr:row>
      <xdr:rowOff>19050</xdr:rowOff>
    </xdr:from>
    <xdr:to>
      <xdr:col>7</xdr:col>
      <xdr:colOff>352425</xdr:colOff>
      <xdr:row>34</xdr:row>
      <xdr:rowOff>0</xdr:rowOff>
    </xdr:to>
    <xdr:sp macro="" textlink="">
      <xdr:nvSpPr>
        <xdr:cNvPr id="34" name="Right Brace 33">
          <a:extLst>
            <a:ext uri="{FF2B5EF4-FFF2-40B4-BE49-F238E27FC236}">
              <a16:creationId xmlns:a16="http://schemas.microsoft.com/office/drawing/2014/main" xmlns="" id="{33D5041F-98C2-5DB7-8C55-ABD0379F19DF}"/>
            </a:ext>
          </a:extLst>
        </xdr:cNvPr>
        <xdr:cNvSpPr/>
      </xdr:nvSpPr>
      <xdr:spPr>
        <a:xfrm>
          <a:off x="5267325" y="5353050"/>
          <a:ext cx="295275" cy="11239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719183</xdr:colOff>
      <xdr:row>42</xdr:row>
      <xdr:rowOff>1637</xdr:rowOff>
    </xdr:from>
    <xdr:to>
      <xdr:col>4</xdr:col>
      <xdr:colOff>896438</xdr:colOff>
      <xdr:row>43</xdr:row>
      <xdr:rowOff>154093</xdr:rowOff>
    </xdr:to>
    <xdr:sp macro="" textlink="">
      <xdr:nvSpPr>
        <xdr:cNvPr id="35" name="Arrow: Curved Left 34">
          <a:extLst>
            <a:ext uri="{FF2B5EF4-FFF2-40B4-BE49-F238E27FC236}">
              <a16:creationId xmlns:a16="http://schemas.microsoft.com/office/drawing/2014/main" xmlns="" id="{755C4ED3-B2AC-EF28-9784-9B8E9A4A1D25}"/>
            </a:ext>
          </a:extLst>
        </xdr:cNvPr>
        <xdr:cNvSpPr/>
      </xdr:nvSpPr>
      <xdr:spPr>
        <a:xfrm rot="16200000">
          <a:off x="3322383" y="7704487"/>
          <a:ext cx="342956" cy="939255"/>
        </a:xfrm>
        <a:prstGeom prst="curvedLeftArrow">
          <a:avLst>
            <a:gd name="adj1" fmla="val 13184"/>
            <a:gd name="adj2" fmla="val 59376"/>
            <a:gd name="adj3" fmla="val 343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251720</xdr:colOff>
      <xdr:row>43</xdr:row>
      <xdr:rowOff>89784</xdr:rowOff>
    </xdr:from>
    <xdr:to>
      <xdr:col>5</xdr:col>
      <xdr:colOff>569619</xdr:colOff>
      <xdr:row>47</xdr:row>
      <xdr:rowOff>133563</xdr:rowOff>
    </xdr:to>
    <xdr:sp macro="" textlink="">
      <xdr:nvSpPr>
        <xdr:cNvPr id="36" name="Arrow: Curved Left 35">
          <a:extLst>
            <a:ext uri="{FF2B5EF4-FFF2-40B4-BE49-F238E27FC236}">
              <a16:creationId xmlns:a16="http://schemas.microsoft.com/office/drawing/2014/main" xmlns="" id="{C07A3E08-840F-4708-AF54-9A5A8CF1DB15}"/>
            </a:ext>
          </a:extLst>
        </xdr:cNvPr>
        <xdr:cNvSpPr/>
      </xdr:nvSpPr>
      <xdr:spPr>
        <a:xfrm rot="18957464">
          <a:off x="4242695" y="8281284"/>
          <a:ext cx="317899" cy="805779"/>
        </a:xfrm>
        <a:prstGeom prst="curvedLeftArrow">
          <a:avLst>
            <a:gd name="adj1" fmla="val 13184"/>
            <a:gd name="adj2" fmla="val 59376"/>
            <a:gd name="adj3" fmla="val 343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270770</xdr:colOff>
      <xdr:row>47</xdr:row>
      <xdr:rowOff>185034</xdr:rowOff>
    </xdr:from>
    <xdr:to>
      <xdr:col>5</xdr:col>
      <xdr:colOff>588669</xdr:colOff>
      <xdr:row>52</xdr:row>
      <xdr:rowOff>38313</xdr:rowOff>
    </xdr:to>
    <xdr:sp macro="" textlink="">
      <xdr:nvSpPr>
        <xdr:cNvPr id="37" name="Arrow: Curved Left 36">
          <a:extLst>
            <a:ext uri="{FF2B5EF4-FFF2-40B4-BE49-F238E27FC236}">
              <a16:creationId xmlns:a16="http://schemas.microsoft.com/office/drawing/2014/main" xmlns="" id="{2F27D4A3-CD54-4639-A94E-02264A709C8C}"/>
            </a:ext>
          </a:extLst>
        </xdr:cNvPr>
        <xdr:cNvSpPr/>
      </xdr:nvSpPr>
      <xdr:spPr>
        <a:xfrm rot="989380">
          <a:off x="4261745" y="9138534"/>
          <a:ext cx="317899" cy="805779"/>
        </a:xfrm>
        <a:prstGeom prst="curvedLeftArrow">
          <a:avLst>
            <a:gd name="adj1" fmla="val 13184"/>
            <a:gd name="adj2" fmla="val 59376"/>
            <a:gd name="adj3" fmla="val 343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553611</xdr:colOff>
      <xdr:row>51</xdr:row>
      <xdr:rowOff>171451</xdr:rowOff>
    </xdr:from>
    <xdr:to>
      <xdr:col>4</xdr:col>
      <xdr:colOff>874293</xdr:colOff>
      <xdr:row>54</xdr:row>
      <xdr:rowOff>47154</xdr:rowOff>
    </xdr:to>
    <xdr:sp macro="" textlink="">
      <xdr:nvSpPr>
        <xdr:cNvPr id="38" name="Arrow: Curved Left 37">
          <a:extLst>
            <a:ext uri="{FF2B5EF4-FFF2-40B4-BE49-F238E27FC236}">
              <a16:creationId xmlns:a16="http://schemas.microsoft.com/office/drawing/2014/main" xmlns="" id="{CAC67C94-C2C4-4408-85A2-0951CD9A1B04}"/>
            </a:ext>
          </a:extLst>
        </xdr:cNvPr>
        <xdr:cNvSpPr/>
      </xdr:nvSpPr>
      <xdr:spPr>
        <a:xfrm rot="5731132">
          <a:off x="3176400" y="9569212"/>
          <a:ext cx="447203" cy="1082682"/>
        </a:xfrm>
        <a:prstGeom prst="curvedLeftArrow">
          <a:avLst>
            <a:gd name="adj1" fmla="val 13184"/>
            <a:gd name="adj2" fmla="val 59376"/>
            <a:gd name="adj3" fmla="val 343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164022</xdr:colOff>
      <xdr:row>47</xdr:row>
      <xdr:rowOff>37467</xdr:rowOff>
    </xdr:from>
    <xdr:to>
      <xdr:col>3</xdr:col>
      <xdr:colOff>695442</xdr:colOff>
      <xdr:row>51</xdr:row>
      <xdr:rowOff>158726</xdr:rowOff>
    </xdr:to>
    <xdr:sp macro="" textlink="">
      <xdr:nvSpPr>
        <xdr:cNvPr id="39" name="Arrow: Curved Left 38">
          <a:extLst>
            <a:ext uri="{FF2B5EF4-FFF2-40B4-BE49-F238E27FC236}">
              <a16:creationId xmlns:a16="http://schemas.microsoft.com/office/drawing/2014/main" xmlns="" id="{31B1FBF3-482A-47F2-B023-62F9E15D57D1}"/>
            </a:ext>
          </a:extLst>
        </xdr:cNvPr>
        <xdr:cNvSpPr/>
      </xdr:nvSpPr>
      <xdr:spPr>
        <a:xfrm rot="9830026">
          <a:off x="2469072" y="8990967"/>
          <a:ext cx="531420" cy="883259"/>
        </a:xfrm>
        <a:prstGeom prst="curvedLeftArrow">
          <a:avLst>
            <a:gd name="adj1" fmla="val 13184"/>
            <a:gd name="adj2" fmla="val 59376"/>
            <a:gd name="adj3" fmla="val 343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116483</xdr:colOff>
      <xdr:row>43</xdr:row>
      <xdr:rowOff>185263</xdr:rowOff>
    </xdr:from>
    <xdr:to>
      <xdr:col>3</xdr:col>
      <xdr:colOff>399809</xdr:colOff>
      <xdr:row>47</xdr:row>
      <xdr:rowOff>81021</xdr:rowOff>
    </xdr:to>
    <xdr:sp macro="" textlink="">
      <xdr:nvSpPr>
        <xdr:cNvPr id="40" name="Arrow: Curved Left 39">
          <a:extLst>
            <a:ext uri="{FF2B5EF4-FFF2-40B4-BE49-F238E27FC236}">
              <a16:creationId xmlns:a16="http://schemas.microsoft.com/office/drawing/2014/main" xmlns="" id="{1EFD6A04-64E5-4880-8936-65944B093203}"/>
            </a:ext>
          </a:extLst>
        </xdr:cNvPr>
        <xdr:cNvSpPr/>
      </xdr:nvSpPr>
      <xdr:spPr>
        <a:xfrm rot="10800000">
          <a:off x="2421533" y="8376763"/>
          <a:ext cx="283326" cy="657758"/>
        </a:xfrm>
        <a:prstGeom prst="curvedLeftArrow">
          <a:avLst>
            <a:gd name="adj1" fmla="val 13184"/>
            <a:gd name="adj2" fmla="val 59376"/>
            <a:gd name="adj3" fmla="val 343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0</xdr:colOff>
      <xdr:row>0</xdr:row>
      <xdr:rowOff>0</xdr:rowOff>
    </xdr:from>
    <xdr:to>
      <xdr:col>10</xdr:col>
      <xdr:colOff>1851051</xdr:colOff>
      <xdr:row>19</xdr:row>
      <xdr:rowOff>162904</xdr:rowOff>
    </xdr:to>
    <xdr:sp macro="" textlink="">
      <xdr:nvSpPr>
        <xdr:cNvPr id="25" name="Rectangle 24"/>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409571</xdr:colOff>
      <xdr:row>19</xdr:row>
      <xdr:rowOff>76200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57146</xdr:colOff>
      <xdr:row>19</xdr:row>
      <xdr:rowOff>76200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590546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66671</xdr:colOff>
      <xdr:row>19</xdr:row>
      <xdr:rowOff>38100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590546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590546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466725</xdr:colOff>
      <xdr:row>6</xdr:row>
      <xdr:rowOff>110339</xdr:rowOff>
    </xdr:from>
    <xdr:to>
      <xdr:col>9</xdr:col>
      <xdr:colOff>409575</xdr:colOff>
      <xdr:row>8</xdr:row>
      <xdr:rowOff>186848</xdr:rowOff>
    </xdr:to>
    <xdr:sp macro="" textlink="">
      <xdr:nvSpPr>
        <xdr:cNvPr id="2" name="Freeform: Shape 1">
          <a:extLst>
            <a:ext uri="{FF2B5EF4-FFF2-40B4-BE49-F238E27FC236}">
              <a16:creationId xmlns:a16="http://schemas.microsoft.com/office/drawing/2014/main" xmlns="" id="{C0BA7882-FA5B-ABCB-B141-D6CEC1E5493E}"/>
            </a:ext>
          </a:extLst>
        </xdr:cNvPr>
        <xdr:cNvSpPr/>
      </xdr:nvSpPr>
      <xdr:spPr>
        <a:xfrm>
          <a:off x="4733925" y="1253339"/>
          <a:ext cx="1447800" cy="457509"/>
        </a:xfrm>
        <a:custGeom>
          <a:avLst/>
          <a:gdLst>
            <a:gd name="connsiteX0" fmla="*/ 0 w 1447800"/>
            <a:gd name="connsiteY0" fmla="*/ 451636 h 457509"/>
            <a:gd name="connsiteX1" fmla="*/ 228600 w 1447800"/>
            <a:gd name="connsiteY1" fmla="*/ 432586 h 457509"/>
            <a:gd name="connsiteX2" fmla="*/ 238125 w 1447800"/>
            <a:gd name="connsiteY2" fmla="*/ 270661 h 457509"/>
            <a:gd name="connsiteX3" fmla="*/ 257175 w 1447800"/>
            <a:gd name="connsiteY3" fmla="*/ 223036 h 457509"/>
            <a:gd name="connsiteX4" fmla="*/ 266700 w 1447800"/>
            <a:gd name="connsiteY4" fmla="*/ 194461 h 457509"/>
            <a:gd name="connsiteX5" fmla="*/ 295275 w 1447800"/>
            <a:gd name="connsiteY5" fmla="*/ 99211 h 457509"/>
            <a:gd name="connsiteX6" fmla="*/ 314325 w 1447800"/>
            <a:gd name="connsiteY6" fmla="*/ 61111 h 457509"/>
            <a:gd name="connsiteX7" fmla="*/ 352425 w 1447800"/>
            <a:gd name="connsiteY7" fmla="*/ 42061 h 457509"/>
            <a:gd name="connsiteX8" fmla="*/ 647700 w 1447800"/>
            <a:gd name="connsiteY8" fmla="*/ 32536 h 457509"/>
            <a:gd name="connsiteX9" fmla="*/ 1181100 w 1447800"/>
            <a:gd name="connsiteY9" fmla="*/ 23011 h 457509"/>
            <a:gd name="connsiteX10" fmla="*/ 1276350 w 1447800"/>
            <a:gd name="connsiteY10" fmla="*/ 42061 h 457509"/>
            <a:gd name="connsiteX11" fmla="*/ 1323975 w 1447800"/>
            <a:gd name="connsiteY11" fmla="*/ 51586 h 457509"/>
            <a:gd name="connsiteX12" fmla="*/ 1447800 w 1447800"/>
            <a:gd name="connsiteY12" fmla="*/ 51586 h 4575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447800" h="457509">
              <a:moveTo>
                <a:pt x="0" y="451636"/>
              </a:moveTo>
              <a:cubicBezTo>
                <a:pt x="76200" y="445286"/>
                <a:pt x="167722" y="478853"/>
                <a:pt x="228600" y="432586"/>
              </a:cubicBezTo>
              <a:cubicBezTo>
                <a:pt x="271647" y="399870"/>
                <a:pt x="230820" y="324234"/>
                <a:pt x="238125" y="270661"/>
              </a:cubicBezTo>
              <a:cubicBezTo>
                <a:pt x="240435" y="253720"/>
                <a:pt x="251172" y="239045"/>
                <a:pt x="257175" y="223036"/>
              </a:cubicBezTo>
              <a:cubicBezTo>
                <a:pt x="260700" y="213635"/>
                <a:pt x="263942" y="204115"/>
                <a:pt x="266700" y="194461"/>
              </a:cubicBezTo>
              <a:cubicBezTo>
                <a:pt x="275815" y="162558"/>
                <a:pt x="280185" y="129392"/>
                <a:pt x="295275" y="99211"/>
              </a:cubicBezTo>
              <a:cubicBezTo>
                <a:pt x="301625" y="86511"/>
                <a:pt x="304285" y="71151"/>
                <a:pt x="314325" y="61111"/>
              </a:cubicBezTo>
              <a:cubicBezTo>
                <a:pt x="324365" y="51071"/>
                <a:pt x="338278" y="43274"/>
                <a:pt x="352425" y="42061"/>
              </a:cubicBezTo>
              <a:cubicBezTo>
                <a:pt x="450541" y="33651"/>
                <a:pt x="549275" y="35711"/>
                <a:pt x="647700" y="32536"/>
              </a:cubicBezTo>
              <a:cubicBezTo>
                <a:pt x="925081" y="-19473"/>
                <a:pt x="748479" y="1380"/>
                <a:pt x="1181100" y="23011"/>
              </a:cubicBezTo>
              <a:lnTo>
                <a:pt x="1276350" y="42061"/>
              </a:lnTo>
              <a:cubicBezTo>
                <a:pt x="1292225" y="45236"/>
                <a:pt x="1307786" y="51586"/>
                <a:pt x="1323975" y="51586"/>
              </a:cubicBezTo>
              <a:lnTo>
                <a:pt x="1447800" y="51586"/>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1752600</xdr:colOff>
      <xdr:row>2</xdr:row>
      <xdr:rowOff>110339</xdr:rowOff>
    </xdr:from>
    <xdr:to>
      <xdr:col>2</xdr:col>
      <xdr:colOff>561975</xdr:colOff>
      <xdr:row>4</xdr:row>
      <xdr:rowOff>186848</xdr:rowOff>
    </xdr:to>
    <xdr:sp macro="" textlink="">
      <xdr:nvSpPr>
        <xdr:cNvPr id="3" name="Freeform: Shape 2">
          <a:extLst>
            <a:ext uri="{FF2B5EF4-FFF2-40B4-BE49-F238E27FC236}">
              <a16:creationId xmlns:a16="http://schemas.microsoft.com/office/drawing/2014/main" xmlns="" id="{FC0A78FC-3220-4F97-ADDE-23D2ADD2D8AC}"/>
            </a:ext>
          </a:extLst>
        </xdr:cNvPr>
        <xdr:cNvSpPr/>
      </xdr:nvSpPr>
      <xdr:spPr>
        <a:xfrm>
          <a:off x="1752600" y="491339"/>
          <a:ext cx="1447800" cy="457509"/>
        </a:xfrm>
        <a:custGeom>
          <a:avLst/>
          <a:gdLst>
            <a:gd name="connsiteX0" fmla="*/ 0 w 1447800"/>
            <a:gd name="connsiteY0" fmla="*/ 451636 h 457509"/>
            <a:gd name="connsiteX1" fmla="*/ 228600 w 1447800"/>
            <a:gd name="connsiteY1" fmla="*/ 432586 h 457509"/>
            <a:gd name="connsiteX2" fmla="*/ 238125 w 1447800"/>
            <a:gd name="connsiteY2" fmla="*/ 270661 h 457509"/>
            <a:gd name="connsiteX3" fmla="*/ 257175 w 1447800"/>
            <a:gd name="connsiteY3" fmla="*/ 223036 h 457509"/>
            <a:gd name="connsiteX4" fmla="*/ 266700 w 1447800"/>
            <a:gd name="connsiteY4" fmla="*/ 194461 h 457509"/>
            <a:gd name="connsiteX5" fmla="*/ 295275 w 1447800"/>
            <a:gd name="connsiteY5" fmla="*/ 99211 h 457509"/>
            <a:gd name="connsiteX6" fmla="*/ 314325 w 1447800"/>
            <a:gd name="connsiteY6" fmla="*/ 61111 h 457509"/>
            <a:gd name="connsiteX7" fmla="*/ 352425 w 1447800"/>
            <a:gd name="connsiteY7" fmla="*/ 42061 h 457509"/>
            <a:gd name="connsiteX8" fmla="*/ 647700 w 1447800"/>
            <a:gd name="connsiteY8" fmla="*/ 32536 h 457509"/>
            <a:gd name="connsiteX9" fmla="*/ 1181100 w 1447800"/>
            <a:gd name="connsiteY9" fmla="*/ 23011 h 457509"/>
            <a:gd name="connsiteX10" fmla="*/ 1276350 w 1447800"/>
            <a:gd name="connsiteY10" fmla="*/ 42061 h 457509"/>
            <a:gd name="connsiteX11" fmla="*/ 1323975 w 1447800"/>
            <a:gd name="connsiteY11" fmla="*/ 51586 h 457509"/>
            <a:gd name="connsiteX12" fmla="*/ 1447800 w 1447800"/>
            <a:gd name="connsiteY12" fmla="*/ 51586 h 4575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447800" h="457509">
              <a:moveTo>
                <a:pt x="0" y="451636"/>
              </a:moveTo>
              <a:cubicBezTo>
                <a:pt x="76200" y="445286"/>
                <a:pt x="167722" y="478853"/>
                <a:pt x="228600" y="432586"/>
              </a:cubicBezTo>
              <a:cubicBezTo>
                <a:pt x="271647" y="399870"/>
                <a:pt x="230820" y="324234"/>
                <a:pt x="238125" y="270661"/>
              </a:cubicBezTo>
              <a:cubicBezTo>
                <a:pt x="240435" y="253720"/>
                <a:pt x="251172" y="239045"/>
                <a:pt x="257175" y="223036"/>
              </a:cubicBezTo>
              <a:cubicBezTo>
                <a:pt x="260700" y="213635"/>
                <a:pt x="263942" y="204115"/>
                <a:pt x="266700" y="194461"/>
              </a:cubicBezTo>
              <a:cubicBezTo>
                <a:pt x="275815" y="162558"/>
                <a:pt x="280185" y="129392"/>
                <a:pt x="295275" y="99211"/>
              </a:cubicBezTo>
              <a:cubicBezTo>
                <a:pt x="301625" y="86511"/>
                <a:pt x="304285" y="71151"/>
                <a:pt x="314325" y="61111"/>
              </a:cubicBezTo>
              <a:cubicBezTo>
                <a:pt x="324365" y="51071"/>
                <a:pt x="338278" y="43274"/>
                <a:pt x="352425" y="42061"/>
              </a:cubicBezTo>
              <a:cubicBezTo>
                <a:pt x="450541" y="33651"/>
                <a:pt x="549275" y="35711"/>
                <a:pt x="647700" y="32536"/>
              </a:cubicBezTo>
              <a:cubicBezTo>
                <a:pt x="925081" y="-19473"/>
                <a:pt x="748479" y="1380"/>
                <a:pt x="1181100" y="23011"/>
              </a:cubicBezTo>
              <a:lnTo>
                <a:pt x="1276350" y="42061"/>
              </a:lnTo>
              <a:cubicBezTo>
                <a:pt x="1292225" y="45236"/>
                <a:pt x="1307786" y="51586"/>
                <a:pt x="1323975" y="51586"/>
              </a:cubicBezTo>
              <a:lnTo>
                <a:pt x="1447800" y="51586"/>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1685925</xdr:colOff>
      <xdr:row>5</xdr:row>
      <xdr:rowOff>91289</xdr:rowOff>
    </xdr:from>
    <xdr:to>
      <xdr:col>2</xdr:col>
      <xdr:colOff>495300</xdr:colOff>
      <xdr:row>7</xdr:row>
      <xdr:rowOff>167798</xdr:rowOff>
    </xdr:to>
    <xdr:sp macro="" textlink="">
      <xdr:nvSpPr>
        <xdr:cNvPr id="4" name="Freeform: Shape 3">
          <a:extLst>
            <a:ext uri="{FF2B5EF4-FFF2-40B4-BE49-F238E27FC236}">
              <a16:creationId xmlns:a16="http://schemas.microsoft.com/office/drawing/2014/main" xmlns="" id="{A9AA2092-5307-4C08-9EBA-FFD7E548DDA7}"/>
            </a:ext>
          </a:extLst>
        </xdr:cNvPr>
        <xdr:cNvSpPr/>
      </xdr:nvSpPr>
      <xdr:spPr>
        <a:xfrm>
          <a:off x="1685925" y="1043789"/>
          <a:ext cx="1447800" cy="457509"/>
        </a:xfrm>
        <a:custGeom>
          <a:avLst/>
          <a:gdLst>
            <a:gd name="connsiteX0" fmla="*/ 0 w 1447800"/>
            <a:gd name="connsiteY0" fmla="*/ 451636 h 457509"/>
            <a:gd name="connsiteX1" fmla="*/ 228600 w 1447800"/>
            <a:gd name="connsiteY1" fmla="*/ 432586 h 457509"/>
            <a:gd name="connsiteX2" fmla="*/ 238125 w 1447800"/>
            <a:gd name="connsiteY2" fmla="*/ 270661 h 457509"/>
            <a:gd name="connsiteX3" fmla="*/ 257175 w 1447800"/>
            <a:gd name="connsiteY3" fmla="*/ 223036 h 457509"/>
            <a:gd name="connsiteX4" fmla="*/ 266700 w 1447800"/>
            <a:gd name="connsiteY4" fmla="*/ 194461 h 457509"/>
            <a:gd name="connsiteX5" fmla="*/ 295275 w 1447800"/>
            <a:gd name="connsiteY5" fmla="*/ 99211 h 457509"/>
            <a:gd name="connsiteX6" fmla="*/ 314325 w 1447800"/>
            <a:gd name="connsiteY6" fmla="*/ 61111 h 457509"/>
            <a:gd name="connsiteX7" fmla="*/ 352425 w 1447800"/>
            <a:gd name="connsiteY7" fmla="*/ 42061 h 457509"/>
            <a:gd name="connsiteX8" fmla="*/ 647700 w 1447800"/>
            <a:gd name="connsiteY8" fmla="*/ 32536 h 457509"/>
            <a:gd name="connsiteX9" fmla="*/ 1181100 w 1447800"/>
            <a:gd name="connsiteY9" fmla="*/ 23011 h 457509"/>
            <a:gd name="connsiteX10" fmla="*/ 1276350 w 1447800"/>
            <a:gd name="connsiteY10" fmla="*/ 42061 h 457509"/>
            <a:gd name="connsiteX11" fmla="*/ 1323975 w 1447800"/>
            <a:gd name="connsiteY11" fmla="*/ 51586 h 457509"/>
            <a:gd name="connsiteX12" fmla="*/ 1447800 w 1447800"/>
            <a:gd name="connsiteY12" fmla="*/ 51586 h 4575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447800" h="457509">
              <a:moveTo>
                <a:pt x="0" y="451636"/>
              </a:moveTo>
              <a:cubicBezTo>
                <a:pt x="76200" y="445286"/>
                <a:pt x="167722" y="478853"/>
                <a:pt x="228600" y="432586"/>
              </a:cubicBezTo>
              <a:cubicBezTo>
                <a:pt x="271647" y="399870"/>
                <a:pt x="230820" y="324234"/>
                <a:pt x="238125" y="270661"/>
              </a:cubicBezTo>
              <a:cubicBezTo>
                <a:pt x="240435" y="253720"/>
                <a:pt x="251172" y="239045"/>
                <a:pt x="257175" y="223036"/>
              </a:cubicBezTo>
              <a:cubicBezTo>
                <a:pt x="260700" y="213635"/>
                <a:pt x="263942" y="204115"/>
                <a:pt x="266700" y="194461"/>
              </a:cubicBezTo>
              <a:cubicBezTo>
                <a:pt x="275815" y="162558"/>
                <a:pt x="280185" y="129392"/>
                <a:pt x="295275" y="99211"/>
              </a:cubicBezTo>
              <a:cubicBezTo>
                <a:pt x="301625" y="86511"/>
                <a:pt x="304285" y="71151"/>
                <a:pt x="314325" y="61111"/>
              </a:cubicBezTo>
              <a:cubicBezTo>
                <a:pt x="324365" y="51071"/>
                <a:pt x="338278" y="43274"/>
                <a:pt x="352425" y="42061"/>
              </a:cubicBezTo>
              <a:cubicBezTo>
                <a:pt x="450541" y="33651"/>
                <a:pt x="549275" y="35711"/>
                <a:pt x="647700" y="32536"/>
              </a:cubicBezTo>
              <a:cubicBezTo>
                <a:pt x="925081" y="-19473"/>
                <a:pt x="748479" y="1380"/>
                <a:pt x="1181100" y="23011"/>
              </a:cubicBezTo>
              <a:lnTo>
                <a:pt x="1276350" y="42061"/>
              </a:lnTo>
              <a:cubicBezTo>
                <a:pt x="1292225" y="45236"/>
                <a:pt x="1307786" y="51586"/>
                <a:pt x="1323975" y="51586"/>
              </a:cubicBezTo>
              <a:lnTo>
                <a:pt x="1447800" y="51586"/>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1724025</xdr:colOff>
      <xdr:row>8</xdr:row>
      <xdr:rowOff>91289</xdr:rowOff>
    </xdr:from>
    <xdr:to>
      <xdr:col>2</xdr:col>
      <xdr:colOff>533400</xdr:colOff>
      <xdr:row>10</xdr:row>
      <xdr:rowOff>167798</xdr:rowOff>
    </xdr:to>
    <xdr:sp macro="" textlink="">
      <xdr:nvSpPr>
        <xdr:cNvPr id="5" name="Freeform: Shape 4">
          <a:extLst>
            <a:ext uri="{FF2B5EF4-FFF2-40B4-BE49-F238E27FC236}">
              <a16:creationId xmlns:a16="http://schemas.microsoft.com/office/drawing/2014/main" xmlns="" id="{47F3C0C5-C9AD-4AEA-A75B-40F53EC05052}"/>
            </a:ext>
          </a:extLst>
        </xdr:cNvPr>
        <xdr:cNvSpPr/>
      </xdr:nvSpPr>
      <xdr:spPr>
        <a:xfrm>
          <a:off x="1724025" y="1615289"/>
          <a:ext cx="1447800" cy="457509"/>
        </a:xfrm>
        <a:custGeom>
          <a:avLst/>
          <a:gdLst>
            <a:gd name="connsiteX0" fmla="*/ 0 w 1447800"/>
            <a:gd name="connsiteY0" fmla="*/ 451636 h 457509"/>
            <a:gd name="connsiteX1" fmla="*/ 228600 w 1447800"/>
            <a:gd name="connsiteY1" fmla="*/ 432586 h 457509"/>
            <a:gd name="connsiteX2" fmla="*/ 238125 w 1447800"/>
            <a:gd name="connsiteY2" fmla="*/ 270661 h 457509"/>
            <a:gd name="connsiteX3" fmla="*/ 257175 w 1447800"/>
            <a:gd name="connsiteY3" fmla="*/ 223036 h 457509"/>
            <a:gd name="connsiteX4" fmla="*/ 266700 w 1447800"/>
            <a:gd name="connsiteY4" fmla="*/ 194461 h 457509"/>
            <a:gd name="connsiteX5" fmla="*/ 295275 w 1447800"/>
            <a:gd name="connsiteY5" fmla="*/ 99211 h 457509"/>
            <a:gd name="connsiteX6" fmla="*/ 314325 w 1447800"/>
            <a:gd name="connsiteY6" fmla="*/ 61111 h 457509"/>
            <a:gd name="connsiteX7" fmla="*/ 352425 w 1447800"/>
            <a:gd name="connsiteY7" fmla="*/ 42061 h 457509"/>
            <a:gd name="connsiteX8" fmla="*/ 647700 w 1447800"/>
            <a:gd name="connsiteY8" fmla="*/ 32536 h 457509"/>
            <a:gd name="connsiteX9" fmla="*/ 1181100 w 1447800"/>
            <a:gd name="connsiteY9" fmla="*/ 23011 h 457509"/>
            <a:gd name="connsiteX10" fmla="*/ 1276350 w 1447800"/>
            <a:gd name="connsiteY10" fmla="*/ 42061 h 457509"/>
            <a:gd name="connsiteX11" fmla="*/ 1323975 w 1447800"/>
            <a:gd name="connsiteY11" fmla="*/ 51586 h 457509"/>
            <a:gd name="connsiteX12" fmla="*/ 1447800 w 1447800"/>
            <a:gd name="connsiteY12" fmla="*/ 51586 h 4575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447800" h="457509">
              <a:moveTo>
                <a:pt x="0" y="451636"/>
              </a:moveTo>
              <a:cubicBezTo>
                <a:pt x="76200" y="445286"/>
                <a:pt x="167722" y="478853"/>
                <a:pt x="228600" y="432586"/>
              </a:cubicBezTo>
              <a:cubicBezTo>
                <a:pt x="271647" y="399870"/>
                <a:pt x="230820" y="324234"/>
                <a:pt x="238125" y="270661"/>
              </a:cubicBezTo>
              <a:cubicBezTo>
                <a:pt x="240435" y="253720"/>
                <a:pt x="251172" y="239045"/>
                <a:pt x="257175" y="223036"/>
              </a:cubicBezTo>
              <a:cubicBezTo>
                <a:pt x="260700" y="213635"/>
                <a:pt x="263942" y="204115"/>
                <a:pt x="266700" y="194461"/>
              </a:cubicBezTo>
              <a:cubicBezTo>
                <a:pt x="275815" y="162558"/>
                <a:pt x="280185" y="129392"/>
                <a:pt x="295275" y="99211"/>
              </a:cubicBezTo>
              <a:cubicBezTo>
                <a:pt x="301625" y="86511"/>
                <a:pt x="304285" y="71151"/>
                <a:pt x="314325" y="61111"/>
              </a:cubicBezTo>
              <a:cubicBezTo>
                <a:pt x="324365" y="51071"/>
                <a:pt x="338278" y="43274"/>
                <a:pt x="352425" y="42061"/>
              </a:cubicBezTo>
              <a:cubicBezTo>
                <a:pt x="450541" y="33651"/>
                <a:pt x="549275" y="35711"/>
                <a:pt x="647700" y="32536"/>
              </a:cubicBezTo>
              <a:cubicBezTo>
                <a:pt x="925081" y="-19473"/>
                <a:pt x="748479" y="1380"/>
                <a:pt x="1181100" y="23011"/>
              </a:cubicBezTo>
              <a:lnTo>
                <a:pt x="1276350" y="42061"/>
              </a:lnTo>
              <a:cubicBezTo>
                <a:pt x="1292225" y="45236"/>
                <a:pt x="1307786" y="51586"/>
                <a:pt x="1323975" y="51586"/>
              </a:cubicBezTo>
              <a:lnTo>
                <a:pt x="1447800" y="51586"/>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1857375</xdr:colOff>
      <xdr:row>11</xdr:row>
      <xdr:rowOff>72239</xdr:rowOff>
    </xdr:from>
    <xdr:to>
      <xdr:col>3</xdr:col>
      <xdr:colOff>57150</xdr:colOff>
      <xdr:row>13</xdr:row>
      <xdr:rowOff>148748</xdr:rowOff>
    </xdr:to>
    <xdr:sp macro="" textlink="">
      <xdr:nvSpPr>
        <xdr:cNvPr id="6" name="Freeform: Shape 5">
          <a:extLst>
            <a:ext uri="{FF2B5EF4-FFF2-40B4-BE49-F238E27FC236}">
              <a16:creationId xmlns:a16="http://schemas.microsoft.com/office/drawing/2014/main" xmlns="" id="{FD06F986-D784-4D1B-BC2C-8ADE4DFAC8A3}"/>
            </a:ext>
          </a:extLst>
        </xdr:cNvPr>
        <xdr:cNvSpPr/>
      </xdr:nvSpPr>
      <xdr:spPr>
        <a:xfrm>
          <a:off x="1857375" y="2167739"/>
          <a:ext cx="1790700" cy="457509"/>
        </a:xfrm>
        <a:custGeom>
          <a:avLst/>
          <a:gdLst>
            <a:gd name="connsiteX0" fmla="*/ 0 w 1447800"/>
            <a:gd name="connsiteY0" fmla="*/ 451636 h 457509"/>
            <a:gd name="connsiteX1" fmla="*/ 228600 w 1447800"/>
            <a:gd name="connsiteY1" fmla="*/ 432586 h 457509"/>
            <a:gd name="connsiteX2" fmla="*/ 238125 w 1447800"/>
            <a:gd name="connsiteY2" fmla="*/ 270661 h 457509"/>
            <a:gd name="connsiteX3" fmla="*/ 257175 w 1447800"/>
            <a:gd name="connsiteY3" fmla="*/ 223036 h 457509"/>
            <a:gd name="connsiteX4" fmla="*/ 266700 w 1447800"/>
            <a:gd name="connsiteY4" fmla="*/ 194461 h 457509"/>
            <a:gd name="connsiteX5" fmla="*/ 295275 w 1447800"/>
            <a:gd name="connsiteY5" fmla="*/ 99211 h 457509"/>
            <a:gd name="connsiteX6" fmla="*/ 314325 w 1447800"/>
            <a:gd name="connsiteY6" fmla="*/ 61111 h 457509"/>
            <a:gd name="connsiteX7" fmla="*/ 352425 w 1447800"/>
            <a:gd name="connsiteY7" fmla="*/ 42061 h 457509"/>
            <a:gd name="connsiteX8" fmla="*/ 647700 w 1447800"/>
            <a:gd name="connsiteY8" fmla="*/ 32536 h 457509"/>
            <a:gd name="connsiteX9" fmla="*/ 1181100 w 1447800"/>
            <a:gd name="connsiteY9" fmla="*/ 23011 h 457509"/>
            <a:gd name="connsiteX10" fmla="*/ 1276350 w 1447800"/>
            <a:gd name="connsiteY10" fmla="*/ 42061 h 457509"/>
            <a:gd name="connsiteX11" fmla="*/ 1323975 w 1447800"/>
            <a:gd name="connsiteY11" fmla="*/ 51586 h 457509"/>
            <a:gd name="connsiteX12" fmla="*/ 1447800 w 1447800"/>
            <a:gd name="connsiteY12" fmla="*/ 51586 h 4575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447800" h="457509">
              <a:moveTo>
                <a:pt x="0" y="451636"/>
              </a:moveTo>
              <a:cubicBezTo>
                <a:pt x="76200" y="445286"/>
                <a:pt x="167722" y="478853"/>
                <a:pt x="228600" y="432586"/>
              </a:cubicBezTo>
              <a:cubicBezTo>
                <a:pt x="271647" y="399870"/>
                <a:pt x="230820" y="324234"/>
                <a:pt x="238125" y="270661"/>
              </a:cubicBezTo>
              <a:cubicBezTo>
                <a:pt x="240435" y="253720"/>
                <a:pt x="251172" y="239045"/>
                <a:pt x="257175" y="223036"/>
              </a:cubicBezTo>
              <a:cubicBezTo>
                <a:pt x="260700" y="213635"/>
                <a:pt x="263942" y="204115"/>
                <a:pt x="266700" y="194461"/>
              </a:cubicBezTo>
              <a:cubicBezTo>
                <a:pt x="275815" y="162558"/>
                <a:pt x="280185" y="129392"/>
                <a:pt x="295275" y="99211"/>
              </a:cubicBezTo>
              <a:cubicBezTo>
                <a:pt x="301625" y="86511"/>
                <a:pt x="304285" y="71151"/>
                <a:pt x="314325" y="61111"/>
              </a:cubicBezTo>
              <a:cubicBezTo>
                <a:pt x="324365" y="51071"/>
                <a:pt x="338278" y="43274"/>
                <a:pt x="352425" y="42061"/>
              </a:cubicBezTo>
              <a:cubicBezTo>
                <a:pt x="450541" y="33651"/>
                <a:pt x="549275" y="35711"/>
                <a:pt x="647700" y="32536"/>
              </a:cubicBezTo>
              <a:cubicBezTo>
                <a:pt x="925081" y="-19473"/>
                <a:pt x="748479" y="1380"/>
                <a:pt x="1181100" y="23011"/>
              </a:cubicBezTo>
              <a:lnTo>
                <a:pt x="1276350" y="42061"/>
              </a:lnTo>
              <a:cubicBezTo>
                <a:pt x="1292225" y="45236"/>
                <a:pt x="1307786" y="51586"/>
                <a:pt x="1323975" y="51586"/>
              </a:cubicBezTo>
              <a:lnTo>
                <a:pt x="1447800" y="51586"/>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0</xdr:rowOff>
    </xdr:from>
    <xdr:to>
      <xdr:col>20</xdr:col>
      <xdr:colOff>590546</xdr:colOff>
      <xdr:row>19</xdr:row>
      <xdr:rowOff>95250</xdr:rowOff>
    </xdr:to>
    <xdr:sp macro="" textlink="">
      <xdr:nvSpPr>
        <xdr:cNvPr id="7" name="Rectangle 6"/>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590546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1381125</xdr:colOff>
      <xdr:row>3</xdr:row>
      <xdr:rowOff>116098</xdr:rowOff>
    </xdr:from>
    <xdr:to>
      <xdr:col>2</xdr:col>
      <xdr:colOff>314325</xdr:colOff>
      <xdr:row>6</xdr:row>
      <xdr:rowOff>77427</xdr:rowOff>
    </xdr:to>
    <xdr:sp macro="" textlink="">
      <xdr:nvSpPr>
        <xdr:cNvPr id="2" name="Freeform: Shape 1">
          <a:extLst>
            <a:ext uri="{FF2B5EF4-FFF2-40B4-BE49-F238E27FC236}">
              <a16:creationId xmlns:a16="http://schemas.microsoft.com/office/drawing/2014/main" xmlns="" id="{55F55B07-1A96-4153-B998-20EA1D34988A}"/>
            </a:ext>
          </a:extLst>
        </xdr:cNvPr>
        <xdr:cNvSpPr/>
      </xdr:nvSpPr>
      <xdr:spPr>
        <a:xfrm>
          <a:off x="1381125" y="687598"/>
          <a:ext cx="1952625" cy="532829"/>
        </a:xfrm>
        <a:custGeom>
          <a:avLst/>
          <a:gdLst>
            <a:gd name="connsiteX0" fmla="*/ 0 w 1352550"/>
            <a:gd name="connsiteY0" fmla="*/ 331577 h 532829"/>
            <a:gd name="connsiteX1" fmla="*/ 161925 w 1352550"/>
            <a:gd name="connsiteY1" fmla="*/ 522077 h 532829"/>
            <a:gd name="connsiteX2" fmla="*/ 276225 w 1352550"/>
            <a:gd name="connsiteY2" fmla="*/ 45827 h 532829"/>
            <a:gd name="connsiteX3" fmla="*/ 1352550 w 1352550"/>
            <a:gd name="connsiteY3" fmla="*/ 45827 h 532829"/>
          </a:gdLst>
          <a:ahLst/>
          <a:cxnLst>
            <a:cxn ang="0">
              <a:pos x="connsiteX0" y="connsiteY0"/>
            </a:cxn>
            <a:cxn ang="0">
              <a:pos x="connsiteX1" y="connsiteY1"/>
            </a:cxn>
            <a:cxn ang="0">
              <a:pos x="connsiteX2" y="connsiteY2"/>
            </a:cxn>
            <a:cxn ang="0">
              <a:pos x="connsiteX3" y="connsiteY3"/>
            </a:cxn>
          </a:cxnLst>
          <a:rect l="l" t="t" r="r" b="b"/>
          <a:pathLst>
            <a:path w="1352550" h="532829">
              <a:moveTo>
                <a:pt x="0" y="331577"/>
              </a:moveTo>
              <a:cubicBezTo>
                <a:pt x="57944" y="450639"/>
                <a:pt x="115888" y="569702"/>
                <a:pt x="161925" y="522077"/>
              </a:cubicBezTo>
              <a:cubicBezTo>
                <a:pt x="207963" y="474452"/>
                <a:pt x="77788" y="125202"/>
                <a:pt x="276225" y="45827"/>
              </a:cubicBezTo>
              <a:cubicBezTo>
                <a:pt x="474662" y="-33548"/>
                <a:pt x="913606" y="6139"/>
                <a:pt x="1352550" y="4582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1371600</xdr:colOff>
      <xdr:row>6</xdr:row>
      <xdr:rowOff>58948</xdr:rowOff>
    </xdr:from>
    <xdr:to>
      <xdr:col>2</xdr:col>
      <xdr:colOff>304800</xdr:colOff>
      <xdr:row>9</xdr:row>
      <xdr:rowOff>20277</xdr:rowOff>
    </xdr:to>
    <xdr:sp macro="" textlink="">
      <xdr:nvSpPr>
        <xdr:cNvPr id="3" name="Freeform: Shape 2">
          <a:extLst>
            <a:ext uri="{FF2B5EF4-FFF2-40B4-BE49-F238E27FC236}">
              <a16:creationId xmlns:a16="http://schemas.microsoft.com/office/drawing/2014/main" xmlns="" id="{A08C2876-8D90-4146-93AE-146A7A1BC628}"/>
            </a:ext>
          </a:extLst>
        </xdr:cNvPr>
        <xdr:cNvSpPr/>
      </xdr:nvSpPr>
      <xdr:spPr>
        <a:xfrm>
          <a:off x="1371600" y="1201948"/>
          <a:ext cx="1952625" cy="532829"/>
        </a:xfrm>
        <a:custGeom>
          <a:avLst/>
          <a:gdLst>
            <a:gd name="connsiteX0" fmla="*/ 0 w 1352550"/>
            <a:gd name="connsiteY0" fmla="*/ 331577 h 532829"/>
            <a:gd name="connsiteX1" fmla="*/ 161925 w 1352550"/>
            <a:gd name="connsiteY1" fmla="*/ 522077 h 532829"/>
            <a:gd name="connsiteX2" fmla="*/ 276225 w 1352550"/>
            <a:gd name="connsiteY2" fmla="*/ 45827 h 532829"/>
            <a:gd name="connsiteX3" fmla="*/ 1352550 w 1352550"/>
            <a:gd name="connsiteY3" fmla="*/ 45827 h 532829"/>
          </a:gdLst>
          <a:ahLst/>
          <a:cxnLst>
            <a:cxn ang="0">
              <a:pos x="connsiteX0" y="connsiteY0"/>
            </a:cxn>
            <a:cxn ang="0">
              <a:pos x="connsiteX1" y="connsiteY1"/>
            </a:cxn>
            <a:cxn ang="0">
              <a:pos x="connsiteX2" y="connsiteY2"/>
            </a:cxn>
            <a:cxn ang="0">
              <a:pos x="connsiteX3" y="connsiteY3"/>
            </a:cxn>
          </a:cxnLst>
          <a:rect l="l" t="t" r="r" b="b"/>
          <a:pathLst>
            <a:path w="1352550" h="532829">
              <a:moveTo>
                <a:pt x="0" y="331577"/>
              </a:moveTo>
              <a:cubicBezTo>
                <a:pt x="57944" y="450639"/>
                <a:pt x="115888" y="569702"/>
                <a:pt x="161925" y="522077"/>
              </a:cubicBezTo>
              <a:cubicBezTo>
                <a:pt x="207963" y="474452"/>
                <a:pt x="77788" y="125202"/>
                <a:pt x="276225" y="45827"/>
              </a:cubicBezTo>
              <a:cubicBezTo>
                <a:pt x="474662" y="-33548"/>
                <a:pt x="913606" y="6139"/>
                <a:pt x="1352550" y="4582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1419225</xdr:colOff>
      <xdr:row>9</xdr:row>
      <xdr:rowOff>68473</xdr:rowOff>
    </xdr:from>
    <xdr:to>
      <xdr:col>2</xdr:col>
      <xdr:colOff>352425</xdr:colOff>
      <xdr:row>12</xdr:row>
      <xdr:rowOff>29802</xdr:rowOff>
    </xdr:to>
    <xdr:sp macro="" textlink="">
      <xdr:nvSpPr>
        <xdr:cNvPr id="4" name="Freeform: Shape 3">
          <a:extLst>
            <a:ext uri="{FF2B5EF4-FFF2-40B4-BE49-F238E27FC236}">
              <a16:creationId xmlns:a16="http://schemas.microsoft.com/office/drawing/2014/main" xmlns="" id="{76120329-76F3-4DE8-BB51-B799EB4B7EC0}"/>
            </a:ext>
          </a:extLst>
        </xdr:cNvPr>
        <xdr:cNvSpPr/>
      </xdr:nvSpPr>
      <xdr:spPr>
        <a:xfrm>
          <a:off x="1419225" y="1782973"/>
          <a:ext cx="1952625" cy="532829"/>
        </a:xfrm>
        <a:custGeom>
          <a:avLst/>
          <a:gdLst>
            <a:gd name="connsiteX0" fmla="*/ 0 w 1352550"/>
            <a:gd name="connsiteY0" fmla="*/ 331577 h 532829"/>
            <a:gd name="connsiteX1" fmla="*/ 161925 w 1352550"/>
            <a:gd name="connsiteY1" fmla="*/ 522077 h 532829"/>
            <a:gd name="connsiteX2" fmla="*/ 276225 w 1352550"/>
            <a:gd name="connsiteY2" fmla="*/ 45827 h 532829"/>
            <a:gd name="connsiteX3" fmla="*/ 1352550 w 1352550"/>
            <a:gd name="connsiteY3" fmla="*/ 45827 h 532829"/>
          </a:gdLst>
          <a:ahLst/>
          <a:cxnLst>
            <a:cxn ang="0">
              <a:pos x="connsiteX0" y="connsiteY0"/>
            </a:cxn>
            <a:cxn ang="0">
              <a:pos x="connsiteX1" y="connsiteY1"/>
            </a:cxn>
            <a:cxn ang="0">
              <a:pos x="connsiteX2" y="connsiteY2"/>
            </a:cxn>
            <a:cxn ang="0">
              <a:pos x="connsiteX3" y="connsiteY3"/>
            </a:cxn>
          </a:cxnLst>
          <a:rect l="l" t="t" r="r" b="b"/>
          <a:pathLst>
            <a:path w="1352550" h="532829">
              <a:moveTo>
                <a:pt x="0" y="331577"/>
              </a:moveTo>
              <a:cubicBezTo>
                <a:pt x="57944" y="450639"/>
                <a:pt x="115888" y="569702"/>
                <a:pt x="161925" y="522077"/>
              </a:cubicBezTo>
              <a:cubicBezTo>
                <a:pt x="207963" y="474452"/>
                <a:pt x="77788" y="125202"/>
                <a:pt x="276225" y="45827"/>
              </a:cubicBezTo>
              <a:cubicBezTo>
                <a:pt x="474662" y="-33548"/>
                <a:pt x="913606" y="6139"/>
                <a:pt x="1352550" y="4582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1514475</xdr:colOff>
      <xdr:row>12</xdr:row>
      <xdr:rowOff>97048</xdr:rowOff>
    </xdr:from>
    <xdr:to>
      <xdr:col>2</xdr:col>
      <xdr:colOff>447675</xdr:colOff>
      <xdr:row>15</xdr:row>
      <xdr:rowOff>58377</xdr:rowOff>
    </xdr:to>
    <xdr:sp macro="" textlink="">
      <xdr:nvSpPr>
        <xdr:cNvPr id="5" name="Freeform: Shape 4">
          <a:extLst>
            <a:ext uri="{FF2B5EF4-FFF2-40B4-BE49-F238E27FC236}">
              <a16:creationId xmlns:a16="http://schemas.microsoft.com/office/drawing/2014/main" xmlns="" id="{1EDF4C78-8155-49CF-BC09-BFD474356D5E}"/>
            </a:ext>
          </a:extLst>
        </xdr:cNvPr>
        <xdr:cNvSpPr/>
      </xdr:nvSpPr>
      <xdr:spPr>
        <a:xfrm>
          <a:off x="1514475" y="2383048"/>
          <a:ext cx="1952625" cy="532829"/>
        </a:xfrm>
        <a:custGeom>
          <a:avLst/>
          <a:gdLst>
            <a:gd name="connsiteX0" fmla="*/ 0 w 1352550"/>
            <a:gd name="connsiteY0" fmla="*/ 331577 h 532829"/>
            <a:gd name="connsiteX1" fmla="*/ 161925 w 1352550"/>
            <a:gd name="connsiteY1" fmla="*/ 522077 h 532829"/>
            <a:gd name="connsiteX2" fmla="*/ 276225 w 1352550"/>
            <a:gd name="connsiteY2" fmla="*/ 45827 h 532829"/>
            <a:gd name="connsiteX3" fmla="*/ 1352550 w 1352550"/>
            <a:gd name="connsiteY3" fmla="*/ 45827 h 532829"/>
          </a:gdLst>
          <a:ahLst/>
          <a:cxnLst>
            <a:cxn ang="0">
              <a:pos x="connsiteX0" y="connsiteY0"/>
            </a:cxn>
            <a:cxn ang="0">
              <a:pos x="connsiteX1" y="connsiteY1"/>
            </a:cxn>
            <a:cxn ang="0">
              <a:pos x="connsiteX2" y="connsiteY2"/>
            </a:cxn>
            <a:cxn ang="0">
              <a:pos x="connsiteX3" y="connsiteY3"/>
            </a:cxn>
          </a:cxnLst>
          <a:rect l="l" t="t" r="r" b="b"/>
          <a:pathLst>
            <a:path w="1352550" h="532829">
              <a:moveTo>
                <a:pt x="0" y="331577"/>
              </a:moveTo>
              <a:cubicBezTo>
                <a:pt x="57944" y="450639"/>
                <a:pt x="115888" y="569702"/>
                <a:pt x="161925" y="522077"/>
              </a:cubicBezTo>
              <a:cubicBezTo>
                <a:pt x="207963" y="474452"/>
                <a:pt x="77788" y="125202"/>
                <a:pt x="276225" y="45827"/>
              </a:cubicBezTo>
              <a:cubicBezTo>
                <a:pt x="474662" y="-33548"/>
                <a:pt x="913606" y="6139"/>
                <a:pt x="1352550" y="4582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0</xdr:rowOff>
    </xdr:from>
    <xdr:to>
      <xdr:col>20</xdr:col>
      <xdr:colOff>590546</xdr:colOff>
      <xdr:row>19</xdr:row>
      <xdr:rowOff>95250</xdr:rowOff>
    </xdr:to>
    <xdr:sp macro="" textlink="">
      <xdr:nvSpPr>
        <xdr:cNvPr id="6" name="Rectangle 5"/>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590546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152396</xdr:colOff>
      <xdr:row>19</xdr:row>
      <xdr:rowOff>76200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161921</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57146</xdr:colOff>
      <xdr:row>19</xdr:row>
      <xdr:rowOff>76200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561975</xdr:colOff>
      <xdr:row>2</xdr:row>
      <xdr:rowOff>113172</xdr:rowOff>
    </xdr:from>
    <xdr:to>
      <xdr:col>3</xdr:col>
      <xdr:colOff>552450</xdr:colOff>
      <xdr:row>5</xdr:row>
      <xdr:rowOff>28575</xdr:rowOff>
    </xdr:to>
    <xdr:sp macro="" textlink="">
      <xdr:nvSpPr>
        <xdr:cNvPr id="2" name="Freeform: Shape 1">
          <a:extLst>
            <a:ext uri="{FF2B5EF4-FFF2-40B4-BE49-F238E27FC236}">
              <a16:creationId xmlns:a16="http://schemas.microsoft.com/office/drawing/2014/main" xmlns="" id="{0D18A074-B46D-D553-F1B0-44C01533490B}"/>
            </a:ext>
          </a:extLst>
        </xdr:cNvPr>
        <xdr:cNvSpPr/>
      </xdr:nvSpPr>
      <xdr:spPr>
        <a:xfrm>
          <a:off x="1171575" y="494172"/>
          <a:ext cx="1209675" cy="486903"/>
        </a:xfrm>
        <a:custGeom>
          <a:avLst/>
          <a:gdLst>
            <a:gd name="connsiteX0" fmla="*/ 0 w 1209675"/>
            <a:gd name="connsiteY0" fmla="*/ 486903 h 486903"/>
            <a:gd name="connsiteX1" fmla="*/ 9525 w 1209675"/>
            <a:gd name="connsiteY1" fmla="*/ 391653 h 486903"/>
            <a:gd name="connsiteX2" fmla="*/ 28575 w 1209675"/>
            <a:gd name="connsiteY2" fmla="*/ 315453 h 486903"/>
            <a:gd name="connsiteX3" fmla="*/ 38100 w 1209675"/>
            <a:gd name="connsiteY3" fmla="*/ 267828 h 486903"/>
            <a:gd name="connsiteX4" fmla="*/ 57150 w 1209675"/>
            <a:gd name="connsiteY4" fmla="*/ 220203 h 486903"/>
            <a:gd name="connsiteX5" fmla="*/ 66675 w 1209675"/>
            <a:gd name="connsiteY5" fmla="*/ 172578 h 486903"/>
            <a:gd name="connsiteX6" fmla="*/ 95250 w 1209675"/>
            <a:gd name="connsiteY6" fmla="*/ 58278 h 486903"/>
            <a:gd name="connsiteX7" fmla="*/ 152400 w 1209675"/>
            <a:gd name="connsiteY7" fmla="*/ 29703 h 486903"/>
            <a:gd name="connsiteX8" fmla="*/ 247650 w 1209675"/>
            <a:gd name="connsiteY8" fmla="*/ 39228 h 486903"/>
            <a:gd name="connsiteX9" fmla="*/ 781050 w 1209675"/>
            <a:gd name="connsiteY9" fmla="*/ 20178 h 486903"/>
            <a:gd name="connsiteX10" fmla="*/ 904875 w 1209675"/>
            <a:gd name="connsiteY10" fmla="*/ 1128 h 486903"/>
            <a:gd name="connsiteX11" fmla="*/ 1209675 w 1209675"/>
            <a:gd name="connsiteY11" fmla="*/ 1128 h 4869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209675" h="486903">
              <a:moveTo>
                <a:pt x="0" y="486903"/>
              </a:moveTo>
              <a:cubicBezTo>
                <a:pt x="3175" y="455153"/>
                <a:pt x="5308" y="423281"/>
                <a:pt x="9525" y="391653"/>
              </a:cubicBezTo>
              <a:cubicBezTo>
                <a:pt x="19556" y="316422"/>
                <a:pt x="14838" y="370401"/>
                <a:pt x="28575" y="315453"/>
              </a:cubicBezTo>
              <a:cubicBezTo>
                <a:pt x="32502" y="299747"/>
                <a:pt x="33448" y="283335"/>
                <a:pt x="38100" y="267828"/>
              </a:cubicBezTo>
              <a:cubicBezTo>
                <a:pt x="43013" y="251451"/>
                <a:pt x="52237" y="236580"/>
                <a:pt x="57150" y="220203"/>
              </a:cubicBezTo>
              <a:cubicBezTo>
                <a:pt x="61802" y="204696"/>
                <a:pt x="64385" y="188605"/>
                <a:pt x="66675" y="172578"/>
              </a:cubicBezTo>
              <a:cubicBezTo>
                <a:pt x="73736" y="123153"/>
                <a:pt x="61736" y="91792"/>
                <a:pt x="95250" y="58278"/>
              </a:cubicBezTo>
              <a:cubicBezTo>
                <a:pt x="113714" y="39814"/>
                <a:pt x="129159" y="37450"/>
                <a:pt x="152400" y="29703"/>
              </a:cubicBezTo>
              <a:cubicBezTo>
                <a:pt x="184150" y="32878"/>
                <a:pt x="215742" y="39228"/>
                <a:pt x="247650" y="39228"/>
              </a:cubicBezTo>
              <a:cubicBezTo>
                <a:pt x="365040" y="39228"/>
                <a:pt x="645521" y="26071"/>
                <a:pt x="781050" y="20178"/>
              </a:cubicBezTo>
              <a:cubicBezTo>
                <a:pt x="820431" y="12302"/>
                <a:pt x="865333" y="2117"/>
                <a:pt x="904875" y="1128"/>
              </a:cubicBezTo>
              <a:cubicBezTo>
                <a:pt x="1006443" y="-1411"/>
                <a:pt x="1108075" y="1128"/>
                <a:pt x="1209675" y="112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533400</xdr:colOff>
      <xdr:row>5</xdr:row>
      <xdr:rowOff>94122</xdr:rowOff>
    </xdr:from>
    <xdr:to>
      <xdr:col>3</xdr:col>
      <xdr:colOff>523875</xdr:colOff>
      <xdr:row>8</xdr:row>
      <xdr:rowOff>9525</xdr:rowOff>
    </xdr:to>
    <xdr:sp macro="" textlink="">
      <xdr:nvSpPr>
        <xdr:cNvPr id="3" name="Freeform: Shape 2">
          <a:extLst>
            <a:ext uri="{FF2B5EF4-FFF2-40B4-BE49-F238E27FC236}">
              <a16:creationId xmlns:a16="http://schemas.microsoft.com/office/drawing/2014/main" xmlns="" id="{53B36D58-4361-4850-9FD0-B4339DD90C2B}"/>
            </a:ext>
          </a:extLst>
        </xdr:cNvPr>
        <xdr:cNvSpPr/>
      </xdr:nvSpPr>
      <xdr:spPr>
        <a:xfrm>
          <a:off x="1143000" y="1046622"/>
          <a:ext cx="1209675" cy="486903"/>
        </a:xfrm>
        <a:custGeom>
          <a:avLst/>
          <a:gdLst>
            <a:gd name="connsiteX0" fmla="*/ 0 w 1209675"/>
            <a:gd name="connsiteY0" fmla="*/ 486903 h 486903"/>
            <a:gd name="connsiteX1" fmla="*/ 9525 w 1209675"/>
            <a:gd name="connsiteY1" fmla="*/ 391653 h 486903"/>
            <a:gd name="connsiteX2" fmla="*/ 28575 w 1209675"/>
            <a:gd name="connsiteY2" fmla="*/ 315453 h 486903"/>
            <a:gd name="connsiteX3" fmla="*/ 38100 w 1209675"/>
            <a:gd name="connsiteY3" fmla="*/ 267828 h 486903"/>
            <a:gd name="connsiteX4" fmla="*/ 57150 w 1209675"/>
            <a:gd name="connsiteY4" fmla="*/ 220203 h 486903"/>
            <a:gd name="connsiteX5" fmla="*/ 66675 w 1209675"/>
            <a:gd name="connsiteY5" fmla="*/ 172578 h 486903"/>
            <a:gd name="connsiteX6" fmla="*/ 95250 w 1209675"/>
            <a:gd name="connsiteY6" fmla="*/ 58278 h 486903"/>
            <a:gd name="connsiteX7" fmla="*/ 152400 w 1209675"/>
            <a:gd name="connsiteY7" fmla="*/ 29703 h 486903"/>
            <a:gd name="connsiteX8" fmla="*/ 247650 w 1209675"/>
            <a:gd name="connsiteY8" fmla="*/ 39228 h 486903"/>
            <a:gd name="connsiteX9" fmla="*/ 781050 w 1209675"/>
            <a:gd name="connsiteY9" fmla="*/ 20178 h 486903"/>
            <a:gd name="connsiteX10" fmla="*/ 904875 w 1209675"/>
            <a:gd name="connsiteY10" fmla="*/ 1128 h 486903"/>
            <a:gd name="connsiteX11" fmla="*/ 1209675 w 1209675"/>
            <a:gd name="connsiteY11" fmla="*/ 1128 h 4869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209675" h="486903">
              <a:moveTo>
                <a:pt x="0" y="486903"/>
              </a:moveTo>
              <a:cubicBezTo>
                <a:pt x="3175" y="455153"/>
                <a:pt x="5308" y="423281"/>
                <a:pt x="9525" y="391653"/>
              </a:cubicBezTo>
              <a:cubicBezTo>
                <a:pt x="19556" y="316422"/>
                <a:pt x="14838" y="370401"/>
                <a:pt x="28575" y="315453"/>
              </a:cubicBezTo>
              <a:cubicBezTo>
                <a:pt x="32502" y="299747"/>
                <a:pt x="33448" y="283335"/>
                <a:pt x="38100" y="267828"/>
              </a:cubicBezTo>
              <a:cubicBezTo>
                <a:pt x="43013" y="251451"/>
                <a:pt x="52237" y="236580"/>
                <a:pt x="57150" y="220203"/>
              </a:cubicBezTo>
              <a:cubicBezTo>
                <a:pt x="61802" y="204696"/>
                <a:pt x="64385" y="188605"/>
                <a:pt x="66675" y="172578"/>
              </a:cubicBezTo>
              <a:cubicBezTo>
                <a:pt x="73736" y="123153"/>
                <a:pt x="61736" y="91792"/>
                <a:pt x="95250" y="58278"/>
              </a:cubicBezTo>
              <a:cubicBezTo>
                <a:pt x="113714" y="39814"/>
                <a:pt x="129159" y="37450"/>
                <a:pt x="152400" y="29703"/>
              </a:cubicBezTo>
              <a:cubicBezTo>
                <a:pt x="184150" y="32878"/>
                <a:pt x="215742" y="39228"/>
                <a:pt x="247650" y="39228"/>
              </a:cubicBezTo>
              <a:cubicBezTo>
                <a:pt x="365040" y="39228"/>
                <a:pt x="645521" y="26071"/>
                <a:pt x="781050" y="20178"/>
              </a:cubicBezTo>
              <a:cubicBezTo>
                <a:pt x="820431" y="12302"/>
                <a:pt x="865333" y="2117"/>
                <a:pt x="904875" y="1128"/>
              </a:cubicBezTo>
              <a:cubicBezTo>
                <a:pt x="1006443" y="-1411"/>
                <a:pt x="1108075" y="1128"/>
                <a:pt x="1209675" y="112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590550</xdr:colOff>
      <xdr:row>8</xdr:row>
      <xdr:rowOff>151272</xdr:rowOff>
    </xdr:from>
    <xdr:to>
      <xdr:col>3</xdr:col>
      <xdr:colOff>581025</xdr:colOff>
      <xdr:row>11</xdr:row>
      <xdr:rowOff>66675</xdr:rowOff>
    </xdr:to>
    <xdr:sp macro="" textlink="">
      <xdr:nvSpPr>
        <xdr:cNvPr id="4" name="Freeform: Shape 3">
          <a:extLst>
            <a:ext uri="{FF2B5EF4-FFF2-40B4-BE49-F238E27FC236}">
              <a16:creationId xmlns:a16="http://schemas.microsoft.com/office/drawing/2014/main" xmlns="" id="{832339BC-1B1F-41F2-BAFD-FDFF3B84FD09}"/>
            </a:ext>
          </a:extLst>
        </xdr:cNvPr>
        <xdr:cNvSpPr/>
      </xdr:nvSpPr>
      <xdr:spPr>
        <a:xfrm>
          <a:off x="1200150" y="1675272"/>
          <a:ext cx="1209675" cy="486903"/>
        </a:xfrm>
        <a:custGeom>
          <a:avLst/>
          <a:gdLst>
            <a:gd name="connsiteX0" fmla="*/ 0 w 1209675"/>
            <a:gd name="connsiteY0" fmla="*/ 486903 h 486903"/>
            <a:gd name="connsiteX1" fmla="*/ 9525 w 1209675"/>
            <a:gd name="connsiteY1" fmla="*/ 391653 h 486903"/>
            <a:gd name="connsiteX2" fmla="*/ 28575 w 1209675"/>
            <a:gd name="connsiteY2" fmla="*/ 315453 h 486903"/>
            <a:gd name="connsiteX3" fmla="*/ 38100 w 1209675"/>
            <a:gd name="connsiteY3" fmla="*/ 267828 h 486903"/>
            <a:gd name="connsiteX4" fmla="*/ 57150 w 1209675"/>
            <a:gd name="connsiteY4" fmla="*/ 220203 h 486903"/>
            <a:gd name="connsiteX5" fmla="*/ 66675 w 1209675"/>
            <a:gd name="connsiteY5" fmla="*/ 172578 h 486903"/>
            <a:gd name="connsiteX6" fmla="*/ 95250 w 1209675"/>
            <a:gd name="connsiteY6" fmla="*/ 58278 h 486903"/>
            <a:gd name="connsiteX7" fmla="*/ 152400 w 1209675"/>
            <a:gd name="connsiteY7" fmla="*/ 29703 h 486903"/>
            <a:gd name="connsiteX8" fmla="*/ 247650 w 1209675"/>
            <a:gd name="connsiteY8" fmla="*/ 39228 h 486903"/>
            <a:gd name="connsiteX9" fmla="*/ 781050 w 1209675"/>
            <a:gd name="connsiteY9" fmla="*/ 20178 h 486903"/>
            <a:gd name="connsiteX10" fmla="*/ 904875 w 1209675"/>
            <a:gd name="connsiteY10" fmla="*/ 1128 h 486903"/>
            <a:gd name="connsiteX11" fmla="*/ 1209675 w 1209675"/>
            <a:gd name="connsiteY11" fmla="*/ 1128 h 4869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209675" h="486903">
              <a:moveTo>
                <a:pt x="0" y="486903"/>
              </a:moveTo>
              <a:cubicBezTo>
                <a:pt x="3175" y="455153"/>
                <a:pt x="5308" y="423281"/>
                <a:pt x="9525" y="391653"/>
              </a:cubicBezTo>
              <a:cubicBezTo>
                <a:pt x="19556" y="316422"/>
                <a:pt x="14838" y="370401"/>
                <a:pt x="28575" y="315453"/>
              </a:cubicBezTo>
              <a:cubicBezTo>
                <a:pt x="32502" y="299747"/>
                <a:pt x="33448" y="283335"/>
                <a:pt x="38100" y="267828"/>
              </a:cubicBezTo>
              <a:cubicBezTo>
                <a:pt x="43013" y="251451"/>
                <a:pt x="52237" y="236580"/>
                <a:pt x="57150" y="220203"/>
              </a:cubicBezTo>
              <a:cubicBezTo>
                <a:pt x="61802" y="204696"/>
                <a:pt x="64385" y="188605"/>
                <a:pt x="66675" y="172578"/>
              </a:cubicBezTo>
              <a:cubicBezTo>
                <a:pt x="73736" y="123153"/>
                <a:pt x="61736" y="91792"/>
                <a:pt x="95250" y="58278"/>
              </a:cubicBezTo>
              <a:cubicBezTo>
                <a:pt x="113714" y="39814"/>
                <a:pt x="129159" y="37450"/>
                <a:pt x="152400" y="29703"/>
              </a:cubicBezTo>
              <a:cubicBezTo>
                <a:pt x="184150" y="32878"/>
                <a:pt x="215742" y="39228"/>
                <a:pt x="247650" y="39228"/>
              </a:cubicBezTo>
              <a:cubicBezTo>
                <a:pt x="365040" y="39228"/>
                <a:pt x="645521" y="26071"/>
                <a:pt x="781050" y="20178"/>
              </a:cubicBezTo>
              <a:cubicBezTo>
                <a:pt x="820431" y="12302"/>
                <a:pt x="865333" y="2117"/>
                <a:pt x="904875" y="1128"/>
              </a:cubicBezTo>
              <a:cubicBezTo>
                <a:pt x="1006443" y="-1411"/>
                <a:pt x="1108075" y="1128"/>
                <a:pt x="1209675" y="112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590550</xdr:colOff>
      <xdr:row>11</xdr:row>
      <xdr:rowOff>103647</xdr:rowOff>
    </xdr:from>
    <xdr:to>
      <xdr:col>3</xdr:col>
      <xdr:colOff>581025</xdr:colOff>
      <xdr:row>14</xdr:row>
      <xdr:rowOff>19050</xdr:rowOff>
    </xdr:to>
    <xdr:sp macro="" textlink="">
      <xdr:nvSpPr>
        <xdr:cNvPr id="5" name="Freeform: Shape 4">
          <a:extLst>
            <a:ext uri="{FF2B5EF4-FFF2-40B4-BE49-F238E27FC236}">
              <a16:creationId xmlns:a16="http://schemas.microsoft.com/office/drawing/2014/main" xmlns="" id="{34597D98-EC00-46B1-ADF1-2D834F157879}"/>
            </a:ext>
          </a:extLst>
        </xdr:cNvPr>
        <xdr:cNvSpPr/>
      </xdr:nvSpPr>
      <xdr:spPr>
        <a:xfrm>
          <a:off x="1200150" y="2199147"/>
          <a:ext cx="1209675" cy="486903"/>
        </a:xfrm>
        <a:custGeom>
          <a:avLst/>
          <a:gdLst>
            <a:gd name="connsiteX0" fmla="*/ 0 w 1209675"/>
            <a:gd name="connsiteY0" fmla="*/ 486903 h 486903"/>
            <a:gd name="connsiteX1" fmla="*/ 9525 w 1209675"/>
            <a:gd name="connsiteY1" fmla="*/ 391653 h 486903"/>
            <a:gd name="connsiteX2" fmla="*/ 28575 w 1209675"/>
            <a:gd name="connsiteY2" fmla="*/ 315453 h 486903"/>
            <a:gd name="connsiteX3" fmla="*/ 38100 w 1209675"/>
            <a:gd name="connsiteY3" fmla="*/ 267828 h 486903"/>
            <a:gd name="connsiteX4" fmla="*/ 57150 w 1209675"/>
            <a:gd name="connsiteY4" fmla="*/ 220203 h 486903"/>
            <a:gd name="connsiteX5" fmla="*/ 66675 w 1209675"/>
            <a:gd name="connsiteY5" fmla="*/ 172578 h 486903"/>
            <a:gd name="connsiteX6" fmla="*/ 95250 w 1209675"/>
            <a:gd name="connsiteY6" fmla="*/ 58278 h 486903"/>
            <a:gd name="connsiteX7" fmla="*/ 152400 w 1209675"/>
            <a:gd name="connsiteY7" fmla="*/ 29703 h 486903"/>
            <a:gd name="connsiteX8" fmla="*/ 247650 w 1209675"/>
            <a:gd name="connsiteY8" fmla="*/ 39228 h 486903"/>
            <a:gd name="connsiteX9" fmla="*/ 781050 w 1209675"/>
            <a:gd name="connsiteY9" fmla="*/ 20178 h 486903"/>
            <a:gd name="connsiteX10" fmla="*/ 904875 w 1209675"/>
            <a:gd name="connsiteY10" fmla="*/ 1128 h 486903"/>
            <a:gd name="connsiteX11" fmla="*/ 1209675 w 1209675"/>
            <a:gd name="connsiteY11" fmla="*/ 1128 h 4869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209675" h="486903">
              <a:moveTo>
                <a:pt x="0" y="486903"/>
              </a:moveTo>
              <a:cubicBezTo>
                <a:pt x="3175" y="455153"/>
                <a:pt x="5308" y="423281"/>
                <a:pt x="9525" y="391653"/>
              </a:cubicBezTo>
              <a:cubicBezTo>
                <a:pt x="19556" y="316422"/>
                <a:pt x="14838" y="370401"/>
                <a:pt x="28575" y="315453"/>
              </a:cubicBezTo>
              <a:cubicBezTo>
                <a:pt x="32502" y="299747"/>
                <a:pt x="33448" y="283335"/>
                <a:pt x="38100" y="267828"/>
              </a:cubicBezTo>
              <a:cubicBezTo>
                <a:pt x="43013" y="251451"/>
                <a:pt x="52237" y="236580"/>
                <a:pt x="57150" y="220203"/>
              </a:cubicBezTo>
              <a:cubicBezTo>
                <a:pt x="61802" y="204696"/>
                <a:pt x="64385" y="188605"/>
                <a:pt x="66675" y="172578"/>
              </a:cubicBezTo>
              <a:cubicBezTo>
                <a:pt x="73736" y="123153"/>
                <a:pt x="61736" y="91792"/>
                <a:pt x="95250" y="58278"/>
              </a:cubicBezTo>
              <a:cubicBezTo>
                <a:pt x="113714" y="39814"/>
                <a:pt x="129159" y="37450"/>
                <a:pt x="152400" y="29703"/>
              </a:cubicBezTo>
              <a:cubicBezTo>
                <a:pt x="184150" y="32878"/>
                <a:pt x="215742" y="39228"/>
                <a:pt x="247650" y="39228"/>
              </a:cubicBezTo>
              <a:cubicBezTo>
                <a:pt x="365040" y="39228"/>
                <a:pt x="645521" y="26071"/>
                <a:pt x="781050" y="20178"/>
              </a:cubicBezTo>
              <a:cubicBezTo>
                <a:pt x="820431" y="12302"/>
                <a:pt x="865333" y="2117"/>
                <a:pt x="904875" y="1128"/>
              </a:cubicBezTo>
              <a:cubicBezTo>
                <a:pt x="1006443" y="-1411"/>
                <a:pt x="1108075" y="1128"/>
                <a:pt x="1209675" y="112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0</xdr:rowOff>
    </xdr:from>
    <xdr:to>
      <xdr:col>20</xdr:col>
      <xdr:colOff>590546</xdr:colOff>
      <xdr:row>19</xdr:row>
      <xdr:rowOff>66675</xdr:rowOff>
    </xdr:to>
    <xdr:sp macro="" textlink="">
      <xdr:nvSpPr>
        <xdr:cNvPr id="6" name="Rectangle 5"/>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600071</xdr:colOff>
      <xdr:row>19</xdr:row>
      <xdr:rowOff>76200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590546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285746</xdr:colOff>
      <xdr:row>19</xdr:row>
      <xdr:rowOff>95250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561975</xdr:colOff>
      <xdr:row>12</xdr:row>
      <xdr:rowOff>180975</xdr:rowOff>
    </xdr:from>
    <xdr:to>
      <xdr:col>2</xdr:col>
      <xdr:colOff>0</xdr:colOff>
      <xdr:row>15</xdr:row>
      <xdr:rowOff>47625</xdr:rowOff>
    </xdr:to>
    <xdr:sp macro="" textlink="">
      <xdr:nvSpPr>
        <xdr:cNvPr id="2" name="Left Bracket 1">
          <a:extLst>
            <a:ext uri="{FF2B5EF4-FFF2-40B4-BE49-F238E27FC236}">
              <a16:creationId xmlns:a16="http://schemas.microsoft.com/office/drawing/2014/main" xmlns="" id="{DD55F0A8-7A08-4F35-B789-3F7BCA06F1A3}"/>
            </a:ext>
          </a:extLst>
        </xdr:cNvPr>
        <xdr:cNvSpPr/>
      </xdr:nvSpPr>
      <xdr:spPr>
        <a:xfrm>
          <a:off x="1533525" y="5514975"/>
          <a:ext cx="257175" cy="4381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123825</xdr:colOff>
      <xdr:row>12</xdr:row>
      <xdr:rowOff>180975</xdr:rowOff>
    </xdr:from>
    <xdr:to>
      <xdr:col>6</xdr:col>
      <xdr:colOff>247650</xdr:colOff>
      <xdr:row>15</xdr:row>
      <xdr:rowOff>47625</xdr:rowOff>
    </xdr:to>
    <xdr:sp macro="" textlink="">
      <xdr:nvSpPr>
        <xdr:cNvPr id="3" name="Left Bracket 2">
          <a:extLst>
            <a:ext uri="{FF2B5EF4-FFF2-40B4-BE49-F238E27FC236}">
              <a16:creationId xmlns:a16="http://schemas.microsoft.com/office/drawing/2014/main" xmlns="" id="{2550ED87-603F-45B8-BDA8-09DD8617C5BD}"/>
            </a:ext>
          </a:extLst>
        </xdr:cNvPr>
        <xdr:cNvSpPr/>
      </xdr:nvSpPr>
      <xdr:spPr>
        <a:xfrm flipH="1">
          <a:off x="5010150" y="5514975"/>
          <a:ext cx="123825" cy="4381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0</xdr:colOff>
      <xdr:row>0</xdr:row>
      <xdr:rowOff>0</xdr:rowOff>
    </xdr:from>
    <xdr:to>
      <xdr:col>20</xdr:col>
      <xdr:colOff>590546</xdr:colOff>
      <xdr:row>19</xdr:row>
      <xdr:rowOff>95250</xdr:rowOff>
    </xdr:to>
    <xdr:sp macro="" textlink="">
      <xdr:nvSpPr>
        <xdr:cNvPr id="4" name="Rectangle 3"/>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571496</xdr:colOff>
      <xdr:row>19</xdr:row>
      <xdr:rowOff>76200</xdr:rowOff>
    </xdr:to>
    <xdr:sp macro="" textlink="">
      <xdr:nvSpPr>
        <xdr:cNvPr id="2" name="Rectangle 1"/>
        <xdr:cNvSpPr/>
      </xdr:nvSpPr>
      <xdr:spPr>
        <a:xfrm>
          <a:off x="0" y="0"/>
          <a:ext cx="12782546" cy="3714750"/>
        </a:xfrm>
        <a:prstGeom prst="rect">
          <a:avLst/>
        </a:prstGeom>
        <a:blipFill dpi="0" rotWithShape="1">
          <a:blip xmlns:r="http://schemas.openxmlformats.org/officeDocument/2006/relationships" r:embed="rId1">
            <a:alphaModFix amt="10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7"/>
  <sheetViews>
    <sheetView zoomScale="107" zoomScaleNormal="107" workbookViewId="0">
      <selection activeCell="B21" sqref="B21"/>
    </sheetView>
  </sheetViews>
  <sheetFormatPr defaultRowHeight="15" x14ac:dyDescent="0.25"/>
  <cols>
    <col min="2" max="2" width="25.7109375" customWidth="1"/>
    <col min="3" max="3" width="13.140625" bestFit="1" customWidth="1"/>
    <col min="4" max="4" width="19.7109375" customWidth="1"/>
    <col min="5" max="5" width="13.85546875" customWidth="1"/>
    <col min="6" max="6" width="15.28515625" customWidth="1"/>
    <col min="7" max="7" width="13.42578125" customWidth="1"/>
    <col min="8" max="8" width="16.85546875" bestFit="1" customWidth="1"/>
    <col min="10" max="10" width="27.7109375" customWidth="1"/>
    <col min="11" max="11" width="31.5703125" customWidth="1"/>
    <col min="12" max="12" width="13.140625" customWidth="1"/>
  </cols>
  <sheetData>
    <row r="1" spans="2:16" x14ac:dyDescent="0.25">
      <c r="L1" t="s">
        <v>13</v>
      </c>
    </row>
    <row r="2" spans="2:16" x14ac:dyDescent="0.25">
      <c r="B2" t="s">
        <v>2</v>
      </c>
      <c r="C2" t="s">
        <v>5</v>
      </c>
      <c r="H2" t="s">
        <v>6</v>
      </c>
    </row>
    <row r="3" spans="2:16" x14ac:dyDescent="0.25">
      <c r="B3" t="s">
        <v>3</v>
      </c>
      <c r="H3" t="s">
        <v>7</v>
      </c>
    </row>
    <row r="4" spans="2:16" x14ac:dyDescent="0.25">
      <c r="B4" t="s">
        <v>4</v>
      </c>
      <c r="H4" t="s">
        <v>8</v>
      </c>
    </row>
    <row r="7" spans="2:16" x14ac:dyDescent="0.25">
      <c r="B7" t="s">
        <v>0</v>
      </c>
      <c r="D7" s="32" t="s">
        <v>12</v>
      </c>
      <c r="E7" s="32"/>
      <c r="F7" s="32"/>
      <c r="H7" t="s">
        <v>1</v>
      </c>
    </row>
    <row r="9" spans="2:16" x14ac:dyDescent="0.25">
      <c r="B9" t="s">
        <v>10</v>
      </c>
      <c r="H9" t="s">
        <v>9</v>
      </c>
      <c r="J9" s="1"/>
    </row>
    <row r="10" spans="2:16" x14ac:dyDescent="0.25">
      <c r="B10" t="s">
        <v>11</v>
      </c>
    </row>
    <row r="14" spans="2:16" x14ac:dyDescent="0.25">
      <c r="B14" t="s">
        <v>54</v>
      </c>
      <c r="L14" t="s">
        <v>14</v>
      </c>
      <c r="N14" t="s">
        <v>15</v>
      </c>
      <c r="P14" t="s">
        <v>20</v>
      </c>
    </row>
    <row r="15" spans="2:16" x14ac:dyDescent="0.25">
      <c r="B15" s="2" t="s">
        <v>22</v>
      </c>
      <c r="E15" s="3" t="s">
        <v>23</v>
      </c>
      <c r="L15" t="s">
        <v>16</v>
      </c>
      <c r="N15" t="s">
        <v>17</v>
      </c>
      <c r="P15" t="s">
        <v>21</v>
      </c>
    </row>
    <row r="16" spans="2:16" x14ac:dyDescent="0.25">
      <c r="B16" t="s">
        <v>24</v>
      </c>
      <c r="E16" t="s">
        <v>30</v>
      </c>
      <c r="L16" t="s">
        <v>18</v>
      </c>
      <c r="N16" t="s">
        <v>19</v>
      </c>
    </row>
    <row r="17" spans="2:12" x14ac:dyDescent="0.25">
      <c r="B17" t="s">
        <v>25</v>
      </c>
      <c r="E17" t="s">
        <v>31</v>
      </c>
    </row>
    <row r="18" spans="2:12" x14ac:dyDescent="0.25">
      <c r="B18" t="s">
        <v>26</v>
      </c>
      <c r="E18" t="s">
        <v>32</v>
      </c>
    </row>
    <row r="19" spans="2:12" x14ac:dyDescent="0.25">
      <c r="B19" t="s">
        <v>27</v>
      </c>
      <c r="E19" t="s">
        <v>33</v>
      </c>
    </row>
    <row r="20" spans="2:12" x14ac:dyDescent="0.25">
      <c r="B20" t="s">
        <v>28</v>
      </c>
    </row>
    <row r="21" spans="2:12" x14ac:dyDescent="0.25">
      <c r="B21" t="s">
        <v>29</v>
      </c>
    </row>
    <row r="22" spans="2:12" x14ac:dyDescent="0.25">
      <c r="C22" t="s">
        <v>34</v>
      </c>
    </row>
    <row r="23" spans="2:12" x14ac:dyDescent="0.25">
      <c r="C23" t="s">
        <v>35</v>
      </c>
    </row>
    <row r="24" spans="2:12" x14ac:dyDescent="0.25">
      <c r="C24" t="s">
        <v>36</v>
      </c>
    </row>
    <row r="25" spans="2:12" x14ac:dyDescent="0.25">
      <c r="B25" t="s">
        <v>42</v>
      </c>
    </row>
    <row r="26" spans="2:12" x14ac:dyDescent="0.25">
      <c r="B26">
        <v>480</v>
      </c>
    </row>
    <row r="27" spans="2:12" x14ac:dyDescent="0.25">
      <c r="B27">
        <v>440</v>
      </c>
    </row>
    <row r="28" spans="2:12" x14ac:dyDescent="0.25">
      <c r="B28">
        <v>400</v>
      </c>
      <c r="H28" t="s">
        <v>43</v>
      </c>
      <c r="I28">
        <v>95</v>
      </c>
    </row>
    <row r="29" spans="2:12" x14ac:dyDescent="0.25">
      <c r="B29">
        <v>360</v>
      </c>
      <c r="J29" s="3" t="s">
        <v>75</v>
      </c>
      <c r="K29" t="s">
        <v>47</v>
      </c>
      <c r="L29" s="3" t="s">
        <v>76</v>
      </c>
    </row>
    <row r="30" spans="2:12" x14ac:dyDescent="0.25">
      <c r="B30">
        <v>320</v>
      </c>
      <c r="J30" s="3" t="s">
        <v>34</v>
      </c>
      <c r="K30" t="s">
        <v>49</v>
      </c>
      <c r="L30" s="3" t="s">
        <v>51</v>
      </c>
    </row>
    <row r="31" spans="2:12" x14ac:dyDescent="0.25">
      <c r="B31">
        <v>280</v>
      </c>
      <c r="H31" s="4" t="s">
        <v>46</v>
      </c>
      <c r="J31" s="3" t="s">
        <v>35</v>
      </c>
      <c r="K31" t="s">
        <v>48</v>
      </c>
      <c r="L31" s="3" t="s">
        <v>52</v>
      </c>
    </row>
    <row r="32" spans="2:12" ht="75" x14ac:dyDescent="0.25">
      <c r="B32">
        <v>240</v>
      </c>
      <c r="G32" s="11" t="s">
        <v>87</v>
      </c>
      <c r="J32" s="3" t="s">
        <v>36</v>
      </c>
      <c r="K32" t="s">
        <v>50</v>
      </c>
      <c r="L32" s="3" t="s">
        <v>53</v>
      </c>
    </row>
    <row r="33" spans="2:12" x14ac:dyDescent="0.25">
      <c r="B33">
        <v>200</v>
      </c>
    </row>
    <row r="34" spans="2:12" x14ac:dyDescent="0.25">
      <c r="B34">
        <v>160</v>
      </c>
    </row>
    <row r="35" spans="2:12" x14ac:dyDescent="0.25">
      <c r="B35">
        <v>120</v>
      </c>
      <c r="H35" t="s">
        <v>44</v>
      </c>
      <c r="I35">
        <v>35</v>
      </c>
    </row>
    <row r="36" spans="2:12" x14ac:dyDescent="0.25">
      <c r="B36">
        <v>80</v>
      </c>
    </row>
    <row r="37" spans="2:12" x14ac:dyDescent="0.25">
      <c r="B37">
        <v>40</v>
      </c>
      <c r="H37" s="4" t="s">
        <v>45</v>
      </c>
    </row>
    <row r="38" spans="2:12" x14ac:dyDescent="0.25">
      <c r="B38">
        <v>0</v>
      </c>
      <c r="G38" t="s">
        <v>37</v>
      </c>
    </row>
    <row r="39" spans="2:12" x14ac:dyDescent="0.25">
      <c r="C39" s="4" t="s">
        <v>38</v>
      </c>
      <c r="D39" s="4" t="s">
        <v>39</v>
      </c>
      <c r="E39" s="4" t="s">
        <v>40</v>
      </c>
      <c r="F39" s="4" t="s">
        <v>41</v>
      </c>
    </row>
    <row r="42" spans="2:12" x14ac:dyDescent="0.25">
      <c r="B42" t="s">
        <v>55</v>
      </c>
    </row>
    <row r="43" spans="2:12" x14ac:dyDescent="0.25">
      <c r="J43" t="s">
        <v>64</v>
      </c>
      <c r="K43">
        <v>40</v>
      </c>
    </row>
    <row r="44" spans="2:12" x14ac:dyDescent="0.25">
      <c r="C44" t="s">
        <v>62</v>
      </c>
      <c r="D44" t="s">
        <v>57</v>
      </c>
      <c r="F44" t="s">
        <v>56</v>
      </c>
      <c r="H44" t="s">
        <v>60</v>
      </c>
      <c r="J44" t="s">
        <v>65</v>
      </c>
      <c r="K44">
        <v>10</v>
      </c>
    </row>
    <row r="45" spans="2:12" x14ac:dyDescent="0.25">
      <c r="J45" t="s">
        <v>66</v>
      </c>
      <c r="K45">
        <v>35</v>
      </c>
    </row>
    <row r="46" spans="2:12" x14ac:dyDescent="0.25">
      <c r="J46" t="s">
        <v>67</v>
      </c>
      <c r="K46">
        <v>45</v>
      </c>
    </row>
    <row r="47" spans="2:12" x14ac:dyDescent="0.25">
      <c r="J47" t="s">
        <v>68</v>
      </c>
      <c r="K47">
        <f>SUM(K43:K46)</f>
        <v>130</v>
      </c>
      <c r="L47" t="s">
        <v>69</v>
      </c>
    </row>
    <row r="48" spans="2:12" x14ac:dyDescent="0.25">
      <c r="C48" s="4" t="s">
        <v>4</v>
      </c>
      <c r="G48" t="s">
        <v>58</v>
      </c>
      <c r="H48" t="s">
        <v>61</v>
      </c>
      <c r="J48" t="s">
        <v>70</v>
      </c>
      <c r="K48">
        <v>-35</v>
      </c>
    </row>
    <row r="49" spans="2:12" x14ac:dyDescent="0.25">
      <c r="J49" t="s">
        <v>71</v>
      </c>
      <c r="K49">
        <f>SUM(K47:K48)</f>
        <v>95</v>
      </c>
      <c r="L49" t="s">
        <v>72</v>
      </c>
    </row>
    <row r="52" spans="2:12" x14ac:dyDescent="0.25">
      <c r="D52" t="s">
        <v>3</v>
      </c>
    </row>
    <row r="53" spans="2:12" x14ac:dyDescent="0.25">
      <c r="C53" t="s">
        <v>63</v>
      </c>
      <c r="F53" t="s">
        <v>59</v>
      </c>
    </row>
    <row r="54" spans="2:12" x14ac:dyDescent="0.25">
      <c r="F54" t="s">
        <v>62</v>
      </c>
    </row>
    <row r="61" spans="2:12" x14ac:dyDescent="0.25">
      <c r="B61" s="33" t="s">
        <v>88</v>
      </c>
      <c r="C61" s="33"/>
      <c r="D61" s="33"/>
      <c r="E61" s="33"/>
    </row>
    <row r="63" spans="2:12" x14ac:dyDescent="0.25">
      <c r="B63" s="3" t="s">
        <v>77</v>
      </c>
      <c r="D63" s="3" t="s">
        <v>82</v>
      </c>
    </row>
    <row r="64" spans="2:12" x14ac:dyDescent="0.25">
      <c r="B64" t="s">
        <v>81</v>
      </c>
      <c r="C64" s="5">
        <v>1000000</v>
      </c>
      <c r="D64" t="s">
        <v>83</v>
      </c>
      <c r="E64" s="5">
        <v>500000</v>
      </c>
    </row>
    <row r="65" spans="2:7" x14ac:dyDescent="0.25">
      <c r="C65" s="5"/>
      <c r="E65" s="5"/>
    </row>
    <row r="66" spans="2:7" x14ac:dyDescent="0.25">
      <c r="B66" s="3" t="s">
        <v>78</v>
      </c>
      <c r="C66" s="5"/>
      <c r="E66" s="5"/>
    </row>
    <row r="67" spans="2:7" x14ac:dyDescent="0.25">
      <c r="B67" t="s">
        <v>80</v>
      </c>
      <c r="C67" s="5">
        <v>500000</v>
      </c>
      <c r="E67" s="5"/>
    </row>
    <row r="68" spans="2:7" x14ac:dyDescent="0.25">
      <c r="C68" s="5"/>
      <c r="E68" s="5"/>
    </row>
    <row r="69" spans="2:7" x14ac:dyDescent="0.25">
      <c r="C69" s="5"/>
      <c r="E69" s="5"/>
    </row>
    <row r="70" spans="2:7" x14ac:dyDescent="0.25">
      <c r="B70" s="3" t="s">
        <v>79</v>
      </c>
      <c r="C70" s="5"/>
      <c r="D70" s="3" t="s">
        <v>84</v>
      </c>
      <c r="E70" s="5"/>
    </row>
    <row r="71" spans="2:7" x14ac:dyDescent="0.25">
      <c r="B71" t="s">
        <v>8</v>
      </c>
      <c r="C71" s="5">
        <v>250000</v>
      </c>
      <c r="D71" t="s">
        <v>2</v>
      </c>
      <c r="E71" s="5">
        <v>450000</v>
      </c>
      <c r="F71" t="s">
        <v>85</v>
      </c>
      <c r="G71" s="5" t="s">
        <v>86</v>
      </c>
    </row>
    <row r="72" spans="2:7" x14ac:dyDescent="0.25">
      <c r="D72" t="s">
        <v>3</v>
      </c>
      <c r="E72" s="5">
        <v>500000</v>
      </c>
    </row>
    <row r="73" spans="2:7" x14ac:dyDescent="0.25">
      <c r="D73" t="s">
        <v>4</v>
      </c>
      <c r="E73" s="5">
        <v>300000</v>
      </c>
    </row>
    <row r="74" spans="2:7" ht="15.75" thickBot="1" x14ac:dyDescent="0.3">
      <c r="C74" s="7">
        <f>SUM(C64:C73)</f>
        <v>1750000</v>
      </c>
      <c r="E74" s="7">
        <f>SUM(E64:E73)</f>
        <v>1750000</v>
      </c>
    </row>
    <row r="75" spans="2:7" ht="15.75" thickTop="1" x14ac:dyDescent="0.25"/>
    <row r="77" spans="2:7" x14ac:dyDescent="0.25">
      <c r="B77" s="33" t="s">
        <v>89</v>
      </c>
      <c r="C77" s="33"/>
      <c r="D77" s="33"/>
      <c r="E77" s="33"/>
    </row>
    <row r="79" spans="2:7" x14ac:dyDescent="0.25">
      <c r="B79" s="3" t="s">
        <v>77</v>
      </c>
      <c r="D79" s="3" t="s">
        <v>82</v>
      </c>
    </row>
    <row r="80" spans="2:7" x14ac:dyDescent="0.25">
      <c r="B80" t="s">
        <v>81</v>
      </c>
      <c r="C80" s="5">
        <v>250000</v>
      </c>
      <c r="D80" t="s">
        <v>83</v>
      </c>
      <c r="E80" s="5">
        <v>1200000</v>
      </c>
    </row>
    <row r="81" spans="2:7" x14ac:dyDescent="0.25">
      <c r="C81" s="5"/>
      <c r="E81" s="5"/>
    </row>
    <row r="82" spans="2:7" x14ac:dyDescent="0.25">
      <c r="B82" s="3" t="s">
        <v>78</v>
      </c>
      <c r="C82" s="5"/>
      <c r="E82" s="5"/>
    </row>
    <row r="83" spans="2:7" x14ac:dyDescent="0.25">
      <c r="B83" t="s">
        <v>80</v>
      </c>
      <c r="C83" s="5">
        <v>100000</v>
      </c>
      <c r="E83" s="5"/>
    </row>
    <row r="84" spans="2:7" x14ac:dyDescent="0.25">
      <c r="C84" s="5"/>
      <c r="E84" s="5"/>
    </row>
    <row r="85" spans="2:7" x14ac:dyDescent="0.25">
      <c r="C85" s="5"/>
      <c r="E85" s="5"/>
    </row>
    <row r="86" spans="2:7" x14ac:dyDescent="0.25">
      <c r="B86" s="3" t="s">
        <v>79</v>
      </c>
      <c r="C86" s="5"/>
      <c r="D86" s="3" t="s">
        <v>84</v>
      </c>
      <c r="E86" s="5"/>
    </row>
    <row r="87" spans="2:7" x14ac:dyDescent="0.25">
      <c r="B87" t="s">
        <v>8</v>
      </c>
      <c r="C87" s="5">
        <v>1400000</v>
      </c>
      <c r="D87" t="s">
        <v>2</v>
      </c>
      <c r="E87" s="5">
        <v>250000</v>
      </c>
      <c r="F87" t="s">
        <v>85</v>
      </c>
      <c r="G87" s="5" t="s">
        <v>86</v>
      </c>
    </row>
    <row r="88" spans="2:7" x14ac:dyDescent="0.25">
      <c r="D88" t="s">
        <v>3</v>
      </c>
      <c r="E88" s="5">
        <v>200000</v>
      </c>
    </row>
    <row r="89" spans="2:7" x14ac:dyDescent="0.25">
      <c r="D89" t="s">
        <v>4</v>
      </c>
      <c r="E89" s="5">
        <v>100000</v>
      </c>
    </row>
    <row r="90" spans="2:7" ht="15.75" thickBot="1" x14ac:dyDescent="0.3">
      <c r="C90" s="7">
        <f>SUM(C80:C89)</f>
        <v>1750000</v>
      </c>
      <c r="E90" s="7">
        <f>SUM(E80:E89)</f>
        <v>1750000</v>
      </c>
    </row>
    <row r="91" spans="2:7" ht="15.75" thickTop="1" x14ac:dyDescent="0.25"/>
    <row r="93" spans="2:7" x14ac:dyDescent="0.25">
      <c r="B93" s="33" t="s">
        <v>90</v>
      </c>
      <c r="C93" s="33"/>
      <c r="D93" s="33"/>
      <c r="E93" s="33"/>
    </row>
    <row r="95" spans="2:7" x14ac:dyDescent="0.25">
      <c r="B95" s="3" t="s">
        <v>77</v>
      </c>
      <c r="D95" s="3" t="s">
        <v>82</v>
      </c>
    </row>
    <row r="96" spans="2:7" x14ac:dyDescent="0.25">
      <c r="B96" t="s">
        <v>81</v>
      </c>
      <c r="C96" s="5">
        <v>750000</v>
      </c>
      <c r="D96" t="s">
        <v>83</v>
      </c>
      <c r="E96" s="5">
        <v>800000</v>
      </c>
    </row>
    <row r="97" spans="2:7" x14ac:dyDescent="0.25">
      <c r="C97" s="5"/>
      <c r="E97" s="5"/>
    </row>
    <row r="98" spans="2:7" x14ac:dyDescent="0.25">
      <c r="B98" s="3" t="s">
        <v>78</v>
      </c>
      <c r="C98" s="5"/>
      <c r="E98" s="5"/>
    </row>
    <row r="99" spans="2:7" x14ac:dyDescent="0.25">
      <c r="B99" t="s">
        <v>80</v>
      </c>
      <c r="C99" s="5">
        <v>250000</v>
      </c>
      <c r="E99" s="5"/>
    </row>
    <row r="100" spans="2:7" x14ac:dyDescent="0.25">
      <c r="C100" s="5"/>
      <c r="E100" s="5"/>
    </row>
    <row r="101" spans="2:7" x14ac:dyDescent="0.25">
      <c r="C101" s="5"/>
      <c r="E101" s="5"/>
    </row>
    <row r="102" spans="2:7" x14ac:dyDescent="0.25">
      <c r="B102" s="3" t="s">
        <v>79</v>
      </c>
      <c r="C102" s="5"/>
      <c r="D102" s="3" t="s">
        <v>84</v>
      </c>
      <c r="E102" s="5"/>
    </row>
    <row r="103" spans="2:7" x14ac:dyDescent="0.25">
      <c r="B103" t="s">
        <v>8</v>
      </c>
      <c r="C103" s="5">
        <v>750000</v>
      </c>
      <c r="D103" t="s">
        <v>2</v>
      </c>
      <c r="E103" s="5">
        <v>350000</v>
      </c>
      <c r="F103" t="s">
        <v>85</v>
      </c>
      <c r="G103" s="5" t="s">
        <v>86</v>
      </c>
    </row>
    <row r="104" spans="2:7" x14ac:dyDescent="0.25">
      <c r="D104" t="s">
        <v>3</v>
      </c>
      <c r="E104" s="5">
        <v>400000</v>
      </c>
    </row>
    <row r="105" spans="2:7" x14ac:dyDescent="0.25">
      <c r="D105" t="s">
        <v>4</v>
      </c>
      <c r="E105" s="5">
        <v>200000</v>
      </c>
    </row>
    <row r="106" spans="2:7" ht="15.75" thickBot="1" x14ac:dyDescent="0.3">
      <c r="C106" s="7">
        <f>SUM(C96:C105)</f>
        <v>1750000</v>
      </c>
      <c r="E106" s="7">
        <f>SUM(E96:E105)</f>
        <v>1750000</v>
      </c>
    </row>
    <row r="107" spans="2:7" ht="15.75" thickTop="1" x14ac:dyDescent="0.25"/>
  </sheetData>
  <mergeCells count="4">
    <mergeCell ref="D7:F7"/>
    <mergeCell ref="B61:E61"/>
    <mergeCell ref="B77:E77"/>
    <mergeCell ref="B93:E9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workbookViewId="0">
      <selection activeCell="E21" sqref="E21"/>
    </sheetView>
  </sheetViews>
  <sheetFormatPr defaultRowHeight="15" x14ac:dyDescent="0.25"/>
  <cols>
    <col min="1" max="1" width="35" customWidth="1"/>
    <col min="2" max="2" width="10.7109375" bestFit="1" customWidth="1"/>
    <col min="3" max="3" width="11.85546875" customWidth="1"/>
  </cols>
  <sheetData>
    <row r="2" spans="1:7" x14ac:dyDescent="0.25">
      <c r="A2" t="s">
        <v>213</v>
      </c>
    </row>
    <row r="4" spans="1:7" x14ac:dyDescent="0.25">
      <c r="A4" t="s">
        <v>73</v>
      </c>
      <c r="B4" t="s">
        <v>192</v>
      </c>
      <c r="C4" s="4" t="s">
        <v>193</v>
      </c>
      <c r="E4" t="s">
        <v>194</v>
      </c>
    </row>
    <row r="5" spans="1:7" x14ac:dyDescent="0.25">
      <c r="A5" t="s">
        <v>191</v>
      </c>
      <c r="B5" t="s">
        <v>214</v>
      </c>
      <c r="C5" s="5">
        <f>50*12</f>
        <v>600</v>
      </c>
      <c r="D5">
        <v>1.2</v>
      </c>
      <c r="E5" s="5">
        <f>+C5*D5</f>
        <v>720</v>
      </c>
      <c r="F5" s="5">
        <f>+E5-C5</f>
        <v>120</v>
      </c>
    </row>
    <row r="6" spans="1:7" x14ac:dyDescent="0.25">
      <c r="A6" t="s">
        <v>195</v>
      </c>
      <c r="B6" s="24" t="s">
        <v>215</v>
      </c>
      <c r="C6" s="5">
        <f>-40*12</f>
        <v>-480</v>
      </c>
      <c r="D6">
        <v>1.2</v>
      </c>
      <c r="E6" s="5">
        <f>+C6*D6</f>
        <v>-576</v>
      </c>
      <c r="F6" s="6">
        <f>+E6-C6</f>
        <v>-96</v>
      </c>
    </row>
    <row r="7" spans="1:7" x14ac:dyDescent="0.25">
      <c r="A7" s="1" t="s">
        <v>196</v>
      </c>
      <c r="C7" s="6">
        <f>SUM(C5:C6)</f>
        <v>120</v>
      </c>
      <c r="E7" s="6">
        <f>SUM(E5:E6)</f>
        <v>144</v>
      </c>
      <c r="F7" s="25">
        <f>SUM(F5:F6)</f>
        <v>24</v>
      </c>
      <c r="G7" s="3" t="s">
        <v>197</v>
      </c>
    </row>
    <row r="9" spans="1:7" x14ac:dyDescent="0.25">
      <c r="A9" s="1" t="s">
        <v>198</v>
      </c>
    </row>
    <row r="10" spans="1:7" x14ac:dyDescent="0.25">
      <c r="A10" t="s">
        <v>199</v>
      </c>
    </row>
    <row r="11" spans="1:7" x14ac:dyDescent="0.25">
      <c r="A11" s="26" t="s">
        <v>200</v>
      </c>
      <c r="B11" t="s">
        <v>216</v>
      </c>
      <c r="C11" s="5">
        <f>600*0.0833333333333333</f>
        <v>49.999999999999979</v>
      </c>
    </row>
    <row r="12" spans="1:7" x14ac:dyDescent="0.25">
      <c r="A12" s="27" t="s">
        <v>194</v>
      </c>
      <c r="B12" t="s">
        <v>217</v>
      </c>
      <c r="C12" s="5">
        <f>+E5*0.166666666666667</f>
        <v>120</v>
      </c>
    </row>
    <row r="13" spans="1:7" x14ac:dyDescent="0.25">
      <c r="C13" s="6">
        <f>+C12-C11</f>
        <v>70.000000000000028</v>
      </c>
      <c r="D13" s="6"/>
    </row>
    <row r="14" spans="1:7" x14ac:dyDescent="0.25">
      <c r="A14" t="s">
        <v>205</v>
      </c>
      <c r="C14" t="s">
        <v>218</v>
      </c>
      <c r="F14" s="28">
        <f>70*0.125</f>
        <v>8.75</v>
      </c>
      <c r="G14" s="3" t="s">
        <v>207</v>
      </c>
    </row>
    <row r="15" spans="1:7" ht="15.75" thickBot="1" x14ac:dyDescent="0.3">
      <c r="A15" t="s">
        <v>208</v>
      </c>
      <c r="F15" s="7">
        <f>F7-F14</f>
        <v>15.25</v>
      </c>
      <c r="G15" t="s">
        <v>209</v>
      </c>
    </row>
    <row r="16" spans="1:7" ht="15.75" thickTop="1"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B21" sqref="B21"/>
    </sheetView>
  </sheetViews>
  <sheetFormatPr defaultRowHeight="15" x14ac:dyDescent="0.25"/>
  <cols>
    <col min="1" max="1" width="24.5703125" bestFit="1" customWidth="1"/>
    <col min="2" max="2" width="38.28515625" bestFit="1" customWidth="1"/>
    <col min="3" max="3" width="9.140625" bestFit="1" customWidth="1"/>
  </cols>
  <sheetData>
    <row r="2" spans="1:4" x14ac:dyDescent="0.25">
      <c r="A2" t="s">
        <v>219</v>
      </c>
    </row>
    <row r="4" spans="1:4" x14ac:dyDescent="0.25">
      <c r="A4" t="s">
        <v>220</v>
      </c>
      <c r="B4" t="s">
        <v>221</v>
      </c>
      <c r="C4" s="5">
        <f>12000*90/360</f>
        <v>3000</v>
      </c>
    </row>
    <row r="5" spans="1:4" x14ac:dyDescent="0.25">
      <c r="A5" t="s">
        <v>222</v>
      </c>
      <c r="B5" t="s">
        <v>223</v>
      </c>
      <c r="C5" s="5">
        <f>(12000*0.5*60/360)+(12000*0.5*10/360)</f>
        <v>1166.6666666666667</v>
      </c>
    </row>
    <row r="6" spans="1:4" x14ac:dyDescent="0.25">
      <c r="A6" t="s">
        <v>224</v>
      </c>
      <c r="C6" s="6">
        <f>C4-C5</f>
        <v>1833.3333333333333</v>
      </c>
    </row>
    <row r="8" spans="1:4" x14ac:dyDescent="0.25">
      <c r="A8" t="s">
        <v>225</v>
      </c>
      <c r="B8" t="s">
        <v>226</v>
      </c>
      <c r="C8" s="5">
        <f>+C6*0.2</f>
        <v>366.66666666666669</v>
      </c>
      <c r="D8" t="s">
        <v>197</v>
      </c>
    </row>
    <row r="9" spans="1:4" x14ac:dyDescent="0.25">
      <c r="A9" t="s">
        <v>227</v>
      </c>
      <c r="B9" t="s">
        <v>228</v>
      </c>
      <c r="C9" s="5">
        <f>12000*0.5*0.025</f>
        <v>150</v>
      </c>
      <c r="D9" t="s">
        <v>207</v>
      </c>
    </row>
    <row r="10" spans="1:4" ht="15.75" thickBot="1" x14ac:dyDescent="0.3">
      <c r="A10" s="3" t="s">
        <v>229</v>
      </c>
      <c r="B10" s="3"/>
      <c r="C10" s="29">
        <f>+C8-C9</f>
        <v>216.66666666666669</v>
      </c>
      <c r="D10" s="3" t="s">
        <v>230</v>
      </c>
    </row>
    <row r="11" spans="1:4" ht="15.75" thickTop="1"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workbookViewId="0">
      <selection activeCell="D21" sqref="D21"/>
    </sheetView>
  </sheetViews>
  <sheetFormatPr defaultRowHeight="15" x14ac:dyDescent="0.25"/>
  <cols>
    <col min="1" max="1" width="27.85546875" customWidth="1"/>
    <col min="2" max="2" width="24.140625" customWidth="1"/>
    <col min="13" max="13" width="10.7109375" bestFit="1" customWidth="1"/>
  </cols>
  <sheetData>
    <row r="2" spans="1:14" x14ac:dyDescent="0.25">
      <c r="A2" t="s">
        <v>231</v>
      </c>
    </row>
    <row r="4" spans="1:14" x14ac:dyDescent="0.25">
      <c r="A4" s="9" t="s">
        <v>232</v>
      </c>
      <c r="C4" t="s">
        <v>192</v>
      </c>
      <c r="M4" s="24">
        <v>0.14000000000000001</v>
      </c>
      <c r="N4" t="s">
        <v>234</v>
      </c>
    </row>
    <row r="5" spans="1:14" x14ac:dyDescent="0.25">
      <c r="A5" t="s">
        <v>233</v>
      </c>
      <c r="B5" t="s">
        <v>237</v>
      </c>
      <c r="C5" s="5">
        <f>1500*45/360*0.135</f>
        <v>25.3125</v>
      </c>
      <c r="M5" t="s">
        <v>235</v>
      </c>
      <c r="N5" s="24">
        <v>0.11</v>
      </c>
    </row>
    <row r="6" spans="1:14" x14ac:dyDescent="0.25">
      <c r="A6" t="s">
        <v>238</v>
      </c>
      <c r="B6" t="s">
        <v>239</v>
      </c>
      <c r="C6" s="5">
        <f>1500*0.5%</f>
        <v>7.5</v>
      </c>
      <c r="M6" t="s">
        <v>236</v>
      </c>
      <c r="N6" s="8">
        <v>0.13500000000000001</v>
      </c>
    </row>
    <row r="7" spans="1:14" x14ac:dyDescent="0.25">
      <c r="A7" t="s">
        <v>240</v>
      </c>
      <c r="C7" s="5">
        <v>30</v>
      </c>
    </row>
    <row r="8" spans="1:14" ht="15.75" thickBot="1" x14ac:dyDescent="0.3">
      <c r="A8" s="2" t="s">
        <v>241</v>
      </c>
      <c r="B8" s="2"/>
      <c r="C8" s="31">
        <f>SUM(C5:C7)</f>
        <v>62.8125</v>
      </c>
    </row>
    <row r="9" spans="1:14" ht="15.75" thickTop="1" x14ac:dyDescent="0.25"/>
    <row r="10" spans="1:14" x14ac:dyDescent="0.25">
      <c r="A10" s="9" t="s">
        <v>242</v>
      </c>
    </row>
    <row r="11" spans="1:14" x14ac:dyDescent="0.25">
      <c r="A11" t="s">
        <v>243</v>
      </c>
      <c r="B11" t="s">
        <v>244</v>
      </c>
      <c r="C11" s="5">
        <f>1500*0.8*30/360*0.14</f>
        <v>14.000000000000002</v>
      </c>
    </row>
    <row r="12" spans="1:14" x14ac:dyDescent="0.25">
      <c r="A12" t="s">
        <v>245</v>
      </c>
      <c r="B12" t="s">
        <v>246</v>
      </c>
      <c r="C12" s="5">
        <f>1500*0.25*30/360*0.135</f>
        <v>4.21875</v>
      </c>
    </row>
    <row r="13" spans="1:14" x14ac:dyDescent="0.25">
      <c r="A13" t="s">
        <v>247</v>
      </c>
      <c r="B13" t="s">
        <v>248</v>
      </c>
      <c r="C13" s="5">
        <f>1500*0.025</f>
        <v>37.5</v>
      </c>
    </row>
    <row r="14" spans="1:14" x14ac:dyDescent="0.25">
      <c r="A14" t="s">
        <v>238</v>
      </c>
      <c r="C14" s="5">
        <v>0</v>
      </c>
    </row>
    <row r="15" spans="1:14" ht="15.75" thickBot="1" x14ac:dyDescent="0.3">
      <c r="A15" s="2" t="s">
        <v>242</v>
      </c>
      <c r="B15" s="2"/>
      <c r="C15" s="31">
        <f>SUM(C11:C14)</f>
        <v>55.71875</v>
      </c>
    </row>
    <row r="16" spans="1:14" ht="15.75" thickTop="1" x14ac:dyDescent="0.25"/>
    <row r="17" spans="1:4" ht="15.75" thickBot="1" x14ac:dyDescent="0.3">
      <c r="A17" s="1" t="s">
        <v>249</v>
      </c>
      <c r="B17" s="1"/>
      <c r="C17" s="30">
        <f>+C8-C15</f>
        <v>7.09375</v>
      </c>
      <c r="D17" t="s">
        <v>250</v>
      </c>
    </row>
    <row r="18" spans="1:4" ht="15.75" thickTop="1" x14ac:dyDescent="0.25"/>
    <row r="19" spans="1:4" x14ac:dyDescent="0.25">
      <c r="A19" t="s">
        <v>251</v>
      </c>
    </row>
  </sheetData>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defaultRowHeight="15" x14ac:dyDescent="0.2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defaultRowHeight="15" x14ac:dyDescent="0.2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defaultRowHeight="15" x14ac:dyDescent="0.2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G22" sqref="G22"/>
    </sheetView>
  </sheetViews>
  <sheetFormatPr defaultRowHeight="15" x14ac:dyDescent="0.25"/>
  <sheetData>
    <row r="2" spans="1:1" x14ac:dyDescent="0.25">
      <c r="A2" s="1" t="s">
        <v>92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workbookViewId="0">
      <selection activeCell="A22" sqref="A22"/>
    </sheetView>
  </sheetViews>
  <sheetFormatPr defaultRowHeight="15" x14ac:dyDescent="0.25"/>
  <cols>
    <col min="1" max="1" width="29.7109375" bestFit="1" customWidth="1"/>
    <col min="5" max="5" width="11.28515625" bestFit="1" customWidth="1"/>
    <col min="8" max="8" width="11.28515625" bestFit="1" customWidth="1"/>
  </cols>
  <sheetData>
    <row r="2" spans="1:8" x14ac:dyDescent="0.25">
      <c r="A2" s="1" t="s">
        <v>129</v>
      </c>
    </row>
    <row r="3" spans="1:8" x14ac:dyDescent="0.25">
      <c r="C3" s="4" t="s">
        <v>132</v>
      </c>
    </row>
    <row r="4" spans="1:8" x14ac:dyDescent="0.25">
      <c r="A4" t="s">
        <v>130</v>
      </c>
      <c r="B4" t="s">
        <v>131</v>
      </c>
      <c r="C4" s="5">
        <f>365/11</f>
        <v>33.18181818181818</v>
      </c>
      <c r="E4" t="s">
        <v>138</v>
      </c>
      <c r="F4" t="s">
        <v>140</v>
      </c>
      <c r="H4" t="s">
        <v>141</v>
      </c>
    </row>
    <row r="5" spans="1:8" x14ac:dyDescent="0.25">
      <c r="A5" t="s">
        <v>133</v>
      </c>
      <c r="B5" t="s">
        <v>134</v>
      </c>
      <c r="C5" s="5">
        <f>365/9</f>
        <v>40.555555555555557</v>
      </c>
      <c r="E5" t="s">
        <v>139</v>
      </c>
      <c r="H5" t="s">
        <v>138</v>
      </c>
    </row>
    <row r="6" spans="1:8" x14ac:dyDescent="0.25">
      <c r="C6" s="5">
        <f>SUM(C4:C5)</f>
        <v>73.73737373737373</v>
      </c>
    </row>
    <row r="7" spans="1:8" x14ac:dyDescent="0.25">
      <c r="A7" t="s">
        <v>135</v>
      </c>
      <c r="B7" t="s">
        <v>136</v>
      </c>
      <c r="C7" s="5">
        <f>-365/8</f>
        <v>-45.625</v>
      </c>
    </row>
    <row r="8" spans="1:8" ht="15.75" thickBot="1" x14ac:dyDescent="0.3">
      <c r="A8" t="s">
        <v>137</v>
      </c>
      <c r="C8" s="14">
        <f>SUM(C6:C7)</f>
        <v>28.11237373737373</v>
      </c>
    </row>
    <row r="9" spans="1:8" ht="15.75" thickTop="1" x14ac:dyDescent="0.25">
      <c r="C9" s="5"/>
    </row>
  </sheetData>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tabSelected="1" workbookViewId="0">
      <selection activeCell="D21" sqref="D21"/>
    </sheetView>
  </sheetViews>
  <sheetFormatPr defaultRowHeight="15" x14ac:dyDescent="0.25"/>
  <cols>
    <col min="1" max="1" width="23" bestFit="1" customWidth="1"/>
    <col min="2" max="2" width="38.140625" bestFit="1" customWidth="1"/>
    <col min="3" max="3" width="11.140625" bestFit="1" customWidth="1"/>
    <col min="4" max="4" width="38.140625" bestFit="1" customWidth="1"/>
    <col min="6" max="6" width="24" bestFit="1" customWidth="1"/>
  </cols>
  <sheetData>
    <row r="2" spans="1:9" x14ac:dyDescent="0.25">
      <c r="A2" s="1" t="s">
        <v>91</v>
      </c>
    </row>
    <row r="4" spans="1:9" x14ac:dyDescent="0.25">
      <c r="A4" t="s">
        <v>73</v>
      </c>
      <c r="C4" s="9">
        <v>2020</v>
      </c>
      <c r="E4" s="9">
        <v>2019</v>
      </c>
    </row>
    <row r="5" spans="1:9" x14ac:dyDescent="0.25">
      <c r="A5" t="s">
        <v>93</v>
      </c>
      <c r="B5" t="s">
        <v>94</v>
      </c>
      <c r="C5" s="12">
        <f>200/2500</f>
        <v>0.08</v>
      </c>
      <c r="D5" t="s">
        <v>95</v>
      </c>
      <c r="E5" s="12">
        <f>180/2000</f>
        <v>0.09</v>
      </c>
    </row>
    <row r="6" spans="1:9" x14ac:dyDescent="0.25">
      <c r="A6" t="s">
        <v>96</v>
      </c>
      <c r="B6" t="s">
        <v>98</v>
      </c>
      <c r="C6" s="12">
        <f>(200000+(350000*8%))/(1000000+350000)</f>
        <v>0.16888888888888889</v>
      </c>
      <c r="D6" t="s">
        <v>99</v>
      </c>
      <c r="E6" s="12">
        <f>(180000+(300000*8%)) /(850000+300000)</f>
        <v>0.17739130434782607</v>
      </c>
      <c r="F6" t="s">
        <v>97</v>
      </c>
      <c r="G6" s="8">
        <f>+E6-C6</f>
        <v>8.5024154589371792E-3</v>
      </c>
    </row>
    <row r="7" spans="1:9" x14ac:dyDescent="0.25">
      <c r="A7" t="s">
        <v>100</v>
      </c>
      <c r="B7" t="s">
        <v>102</v>
      </c>
      <c r="C7" s="13">
        <f>(220+150+130)/(150+100)</f>
        <v>2</v>
      </c>
      <c r="D7" t="s">
        <v>103</v>
      </c>
      <c r="E7" s="5">
        <f>(250+180+120)/(120+130)</f>
        <v>2.2000000000000002</v>
      </c>
      <c r="F7" t="s">
        <v>101</v>
      </c>
    </row>
    <row r="8" spans="1:9" x14ac:dyDescent="0.25">
      <c r="A8" t="s">
        <v>104</v>
      </c>
      <c r="B8" t="s">
        <v>105</v>
      </c>
      <c r="C8">
        <f>(150+130)/(150+100)</f>
        <v>1.1200000000000001</v>
      </c>
      <c r="D8" t="s">
        <v>106</v>
      </c>
      <c r="E8" s="5">
        <f>(180+120)/(120+130)</f>
        <v>1.2</v>
      </c>
      <c r="F8" t="s">
        <v>107</v>
      </c>
    </row>
    <row r="9" spans="1:9" x14ac:dyDescent="0.25">
      <c r="A9" t="s">
        <v>108</v>
      </c>
      <c r="B9" t="s">
        <v>109</v>
      </c>
      <c r="C9" s="5">
        <f>150/2500*365</f>
        <v>21.9</v>
      </c>
      <c r="D9" t="s">
        <v>110</v>
      </c>
      <c r="E9">
        <f>180/2000*365</f>
        <v>32.85</v>
      </c>
      <c r="F9" t="s">
        <v>115</v>
      </c>
      <c r="G9" s="6">
        <f>+E9-C9</f>
        <v>10.950000000000003</v>
      </c>
    </row>
    <row r="10" spans="1:9" x14ac:dyDescent="0.25">
      <c r="A10" t="s">
        <v>111</v>
      </c>
      <c r="B10" t="s">
        <v>112</v>
      </c>
      <c r="C10">
        <f>220/(2500*80%)*365</f>
        <v>40.15</v>
      </c>
      <c r="D10" t="s">
        <v>113</v>
      </c>
      <c r="E10" s="5">
        <f>250/(2000*80%)*365</f>
        <v>57.03125</v>
      </c>
      <c r="F10" t="s">
        <v>114</v>
      </c>
      <c r="G10" s="6">
        <f>+E10-C10</f>
        <v>16.881250000000001</v>
      </c>
    </row>
    <row r="12" spans="1:9" x14ac:dyDescent="0.25">
      <c r="A12" t="s">
        <v>116</v>
      </c>
    </row>
    <row r="13" spans="1:9" x14ac:dyDescent="0.25">
      <c r="A13" t="s">
        <v>117</v>
      </c>
    </row>
    <row r="14" spans="1:9" x14ac:dyDescent="0.25">
      <c r="A14" t="s">
        <v>118</v>
      </c>
      <c r="H14">
        <f>2500*0.8</f>
        <v>2000</v>
      </c>
      <c r="I14">
        <v>2500</v>
      </c>
    </row>
    <row r="15" spans="1:9" x14ac:dyDescent="0.25">
      <c r="A15" t="s">
        <v>119</v>
      </c>
      <c r="H15">
        <v>220</v>
      </c>
      <c r="I15">
        <v>150</v>
      </c>
    </row>
    <row r="16" spans="1:9" x14ac:dyDescent="0.25">
      <c r="A16" t="s">
        <v>120</v>
      </c>
      <c r="H16">
        <f>+H14/H15</f>
        <v>9.0909090909090917</v>
      </c>
      <c r="I16">
        <f>+I14/I15</f>
        <v>16.666666666666668</v>
      </c>
    </row>
    <row r="17" spans="1:4" x14ac:dyDescent="0.25">
      <c r="A17" t="s">
        <v>121</v>
      </c>
    </row>
    <row r="19" spans="1:4" x14ac:dyDescent="0.25">
      <c r="A19" t="s">
        <v>74</v>
      </c>
    </row>
    <row r="20" spans="1:4" ht="29.45" customHeight="1" x14ac:dyDescent="0.25">
      <c r="A20" s="34" t="s">
        <v>122</v>
      </c>
      <c r="B20" s="34"/>
      <c r="C20" s="34"/>
      <c r="D20" s="34"/>
    </row>
    <row r="22" spans="1:4" ht="30.6" customHeight="1" x14ac:dyDescent="0.25">
      <c r="A22" s="34" t="s">
        <v>123</v>
      </c>
      <c r="B22" s="34"/>
      <c r="C22" s="34"/>
      <c r="D22" s="34"/>
    </row>
    <row r="24" spans="1:4" x14ac:dyDescent="0.25">
      <c r="A24" t="s">
        <v>124</v>
      </c>
    </row>
    <row r="25" spans="1:4" ht="29.45" customHeight="1" x14ac:dyDescent="0.25">
      <c r="A25" s="34" t="s">
        <v>125</v>
      </c>
      <c r="B25" s="34"/>
      <c r="C25" s="34"/>
      <c r="D25" s="34"/>
    </row>
    <row r="27" spans="1:4" x14ac:dyDescent="0.25">
      <c r="A27" t="s">
        <v>126</v>
      </c>
    </row>
    <row r="29" spans="1:4" x14ac:dyDescent="0.25">
      <c r="A29" t="s">
        <v>127</v>
      </c>
    </row>
    <row r="31" spans="1:4" x14ac:dyDescent="0.25">
      <c r="A31" t="s">
        <v>128</v>
      </c>
    </row>
  </sheetData>
  <mergeCells count="3">
    <mergeCell ref="A20:D20"/>
    <mergeCell ref="A22:D22"/>
    <mergeCell ref="A25:D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selection activeCell="B22" sqref="B22"/>
    </sheetView>
  </sheetViews>
  <sheetFormatPr defaultRowHeight="15" x14ac:dyDescent="0.25"/>
  <cols>
    <col min="1" max="1" width="26.42578125" bestFit="1" customWidth="1"/>
    <col min="2" max="2" width="18.140625" bestFit="1" customWidth="1"/>
  </cols>
  <sheetData>
    <row r="2" spans="1:5" x14ac:dyDescent="0.25">
      <c r="A2" s="1" t="s">
        <v>142</v>
      </c>
    </row>
    <row r="4" spans="1:5" x14ac:dyDescent="0.25">
      <c r="A4" t="s">
        <v>143</v>
      </c>
      <c r="B4" t="s">
        <v>144</v>
      </c>
      <c r="C4" s="5">
        <f>(20+15)/2/180*365</f>
        <v>35.486111111111114</v>
      </c>
      <c r="E4" t="s">
        <v>145</v>
      </c>
    </row>
    <row r="5" spans="1:5" x14ac:dyDescent="0.25">
      <c r="A5" t="s">
        <v>146</v>
      </c>
      <c r="B5" t="s">
        <v>147</v>
      </c>
      <c r="C5" s="5">
        <f>(25+20)/2/180*365</f>
        <v>45.625</v>
      </c>
      <c r="E5" t="s">
        <v>148</v>
      </c>
    </row>
    <row r="6" spans="1:5" x14ac:dyDescent="0.25">
      <c r="A6" t="s">
        <v>149</v>
      </c>
      <c r="B6" t="s">
        <v>150</v>
      </c>
      <c r="C6" s="5">
        <f>(15+10)/2/180*365</f>
        <v>25.347222222222225</v>
      </c>
    </row>
    <row r="7" spans="1:5" x14ac:dyDescent="0.25">
      <c r="A7" t="s">
        <v>130</v>
      </c>
      <c r="B7" t="s">
        <v>151</v>
      </c>
      <c r="C7" s="15">
        <f>(40+35)/2/225*365</f>
        <v>60.833333333333329</v>
      </c>
      <c r="E7" t="s">
        <v>152</v>
      </c>
    </row>
    <row r="8" spans="1:5" x14ac:dyDescent="0.25">
      <c r="C8" s="5">
        <f>SUM(C4:C7)</f>
        <v>167.29166666666669</v>
      </c>
    </row>
    <row r="9" spans="1:5" x14ac:dyDescent="0.25">
      <c r="A9" t="s">
        <v>153</v>
      </c>
      <c r="B9" t="s">
        <v>154</v>
      </c>
      <c r="C9">
        <f>-(25+20)/2/100*365</f>
        <v>-82.125</v>
      </c>
      <c r="E9" t="s">
        <v>155</v>
      </c>
    </row>
    <row r="10" spans="1:5" ht="15.75" thickBot="1" x14ac:dyDescent="0.3">
      <c r="A10" t="s">
        <v>156</v>
      </c>
      <c r="C10" s="14">
        <f>SUM(C8:C9)</f>
        <v>85.166666666666686</v>
      </c>
    </row>
    <row r="11" spans="1:5" ht="15.75" thickTop="1" x14ac:dyDescent="0.25">
      <c r="C11" s="5"/>
    </row>
    <row r="12" spans="1:5" x14ac:dyDescent="0.25">
      <c r="C12" s="5"/>
    </row>
    <row r="13" spans="1:5" x14ac:dyDescent="0.25">
      <c r="C13"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D22" sqref="D22"/>
    </sheetView>
  </sheetViews>
  <sheetFormatPr defaultRowHeight="15" x14ac:dyDescent="0.25"/>
  <cols>
    <col min="3" max="3" width="9.140625" bestFit="1" customWidth="1"/>
  </cols>
  <sheetData>
    <row r="2" spans="1:3" x14ac:dyDescent="0.25">
      <c r="A2" t="s">
        <v>158</v>
      </c>
    </row>
    <row r="4" spans="1:3" x14ac:dyDescent="0.25">
      <c r="B4" t="s">
        <v>157</v>
      </c>
      <c r="C4" s="9" t="s">
        <v>159</v>
      </c>
    </row>
    <row r="5" spans="1:3" x14ac:dyDescent="0.25">
      <c r="C5" t="s">
        <v>160</v>
      </c>
    </row>
    <row r="7" spans="1:3" x14ac:dyDescent="0.25">
      <c r="C7" s="9" t="s">
        <v>161</v>
      </c>
    </row>
    <row r="8" spans="1:3" x14ac:dyDescent="0.25">
      <c r="C8" t="s">
        <v>162</v>
      </c>
    </row>
    <row r="10" spans="1:3" x14ac:dyDescent="0.25">
      <c r="C10" s="9">
        <f>2*4*24</f>
        <v>192</v>
      </c>
    </row>
    <row r="11" spans="1:3" x14ac:dyDescent="0.25">
      <c r="C11">
        <v>0.03</v>
      </c>
    </row>
    <row r="13" spans="1:3" x14ac:dyDescent="0.25">
      <c r="C13" s="5">
        <f>192/0.03</f>
        <v>6400</v>
      </c>
    </row>
    <row r="16" spans="1:3" ht="17.25" x14ac:dyDescent="0.4">
      <c r="C16" s="17">
        <v>80</v>
      </c>
    </row>
    <row r="18" spans="1:5" x14ac:dyDescent="0.25">
      <c r="A18" t="s">
        <v>163</v>
      </c>
    </row>
    <row r="20" spans="1:5" x14ac:dyDescent="0.25">
      <c r="C20" t="s">
        <v>164</v>
      </c>
      <c r="D20">
        <f>80/24</f>
        <v>3.3333333333333335</v>
      </c>
      <c r="E20" t="s">
        <v>165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D22" sqref="D22"/>
    </sheetView>
  </sheetViews>
  <sheetFormatPr defaultRowHeight="15" x14ac:dyDescent="0.25"/>
  <cols>
    <col min="3" max="3" width="12.28515625" customWidth="1"/>
    <col min="4" max="4" width="33.28515625" bestFit="1" customWidth="1"/>
  </cols>
  <sheetData>
    <row r="2" spans="1:5" x14ac:dyDescent="0.25">
      <c r="A2" s="1" t="s">
        <v>166</v>
      </c>
    </row>
    <row r="4" spans="1:5" x14ac:dyDescent="0.25">
      <c r="A4" t="s">
        <v>167</v>
      </c>
      <c r="B4" s="18" t="s">
        <v>168</v>
      </c>
      <c r="C4" t="s">
        <v>169</v>
      </c>
      <c r="D4" s="9" t="s">
        <v>170</v>
      </c>
      <c r="E4" t="s">
        <v>172</v>
      </c>
    </row>
    <row r="5" spans="1:5" x14ac:dyDescent="0.25">
      <c r="D5" s="10" t="s">
        <v>171</v>
      </c>
    </row>
    <row r="6" spans="1:5" x14ac:dyDescent="0.25">
      <c r="C6" t="s">
        <v>169</v>
      </c>
      <c r="D6" s="9" t="s">
        <v>173</v>
      </c>
    </row>
    <row r="7" spans="1:5" x14ac:dyDescent="0.25">
      <c r="D7" s="19">
        <v>2.5000000000000001E-4</v>
      </c>
    </row>
    <row r="8" spans="1:5" x14ac:dyDescent="0.25">
      <c r="C8" t="s">
        <v>169</v>
      </c>
      <c r="D8" s="5">
        <f>(3/4*((50*4000000)/0.025%))^(1/3)</f>
        <v>8434.3266530174897</v>
      </c>
    </row>
    <row r="10" spans="1:5" x14ac:dyDescent="0.25">
      <c r="D10" s="5">
        <f>+D8*3</f>
        <v>25302.979959052471</v>
      </c>
    </row>
    <row r="13" spans="1:5" x14ac:dyDescent="0.25">
      <c r="A13" t="s">
        <v>174</v>
      </c>
      <c r="C13" t="s">
        <v>175</v>
      </c>
    </row>
    <row r="14" spans="1:5" x14ac:dyDescent="0.25">
      <c r="C14" t="s">
        <v>176</v>
      </c>
    </row>
    <row r="15" spans="1:5" x14ac:dyDescent="0.25">
      <c r="C15" t="s">
        <v>177</v>
      </c>
    </row>
    <row r="16" spans="1:5" ht="15.75" thickBot="1" x14ac:dyDescent="0.3">
      <c r="C16" s="16">
        <f>8000+8434.33</f>
        <v>16434.330000000002</v>
      </c>
    </row>
    <row r="17" spans="1:3" ht="15.75" thickTop="1" x14ac:dyDescent="0.25"/>
    <row r="19" spans="1:3" x14ac:dyDescent="0.25">
      <c r="A19" t="s">
        <v>178</v>
      </c>
      <c r="C19" t="s">
        <v>179</v>
      </c>
    </row>
    <row r="20" spans="1:3" x14ac:dyDescent="0.25">
      <c r="C20" t="s">
        <v>180</v>
      </c>
    </row>
    <row r="21" spans="1:3" ht="15.75" thickBot="1" x14ac:dyDescent="0.3">
      <c r="C21" s="20">
        <f>+D10+8000</f>
        <v>33302.979959052471</v>
      </c>
    </row>
    <row r="22" spans="1:3" ht="15.75" thickTop="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workbookViewId="0">
      <selection activeCell="F22" sqref="F22"/>
    </sheetView>
  </sheetViews>
  <sheetFormatPr defaultRowHeight="15" x14ac:dyDescent="0.25"/>
  <sheetData>
    <row r="2" spans="1:10" x14ac:dyDescent="0.25">
      <c r="A2" t="s">
        <v>181</v>
      </c>
    </row>
    <row r="4" spans="1:10" x14ac:dyDescent="0.25">
      <c r="J4" t="s">
        <v>185</v>
      </c>
    </row>
    <row r="5" spans="1:10" x14ac:dyDescent="0.25">
      <c r="A5" t="s">
        <v>182</v>
      </c>
      <c r="B5" t="s">
        <v>183</v>
      </c>
      <c r="G5">
        <v>1</v>
      </c>
      <c r="H5" s="5">
        <v>100</v>
      </c>
      <c r="I5">
        <v>0.15</v>
      </c>
      <c r="J5">
        <f>H5*I5/12</f>
        <v>1.25</v>
      </c>
    </row>
    <row r="6" spans="1:10" x14ac:dyDescent="0.25">
      <c r="B6" t="s">
        <v>184</v>
      </c>
      <c r="G6">
        <v>2</v>
      </c>
      <c r="H6" s="5">
        <f>+H5+J5</f>
        <v>101.25</v>
      </c>
      <c r="I6">
        <f>+I5</f>
        <v>0.15</v>
      </c>
      <c r="J6" s="5">
        <f>H6*I6/12</f>
        <v>1.265625</v>
      </c>
    </row>
    <row r="7" spans="1:10" x14ac:dyDescent="0.25">
      <c r="B7" s="12">
        <f>((1+0.15/12)^12)-1</f>
        <v>0.16075451772299854</v>
      </c>
      <c r="G7">
        <v>3</v>
      </c>
      <c r="H7" s="5">
        <f t="shared" ref="H7:H16" si="0">+H6+J6</f>
        <v>102.515625</v>
      </c>
      <c r="I7">
        <f t="shared" ref="I7:I16" si="1">+I6</f>
        <v>0.15</v>
      </c>
      <c r="J7" s="5">
        <f t="shared" ref="J7:J16" si="2">H7*I7/12</f>
        <v>1.2814453125</v>
      </c>
    </row>
    <row r="8" spans="1:10" x14ac:dyDescent="0.25">
      <c r="G8">
        <v>4</v>
      </c>
      <c r="H8" s="5">
        <f t="shared" si="0"/>
        <v>103.7970703125</v>
      </c>
      <c r="I8">
        <f t="shared" si="1"/>
        <v>0.15</v>
      </c>
      <c r="J8" s="5">
        <f t="shared" si="2"/>
        <v>1.29746337890625</v>
      </c>
    </row>
    <row r="9" spans="1:10" x14ac:dyDescent="0.25">
      <c r="G9">
        <v>5</v>
      </c>
      <c r="H9" s="5">
        <f t="shared" si="0"/>
        <v>105.09453369140624</v>
      </c>
      <c r="I9">
        <f t="shared" si="1"/>
        <v>0.15</v>
      </c>
      <c r="J9" s="5">
        <f t="shared" si="2"/>
        <v>1.3136816711425781</v>
      </c>
    </row>
    <row r="10" spans="1:10" x14ac:dyDescent="0.25">
      <c r="G10">
        <v>6</v>
      </c>
      <c r="H10" s="5">
        <f t="shared" si="0"/>
        <v>106.40821536254882</v>
      </c>
      <c r="I10">
        <f t="shared" si="1"/>
        <v>0.15</v>
      </c>
      <c r="J10" s="5">
        <f t="shared" si="2"/>
        <v>1.3301026920318602</v>
      </c>
    </row>
    <row r="11" spans="1:10" x14ac:dyDescent="0.25">
      <c r="G11">
        <v>7</v>
      </c>
      <c r="H11" s="5">
        <f t="shared" si="0"/>
        <v>107.73831805458067</v>
      </c>
      <c r="I11">
        <f t="shared" si="1"/>
        <v>0.15</v>
      </c>
      <c r="J11" s="5">
        <f t="shared" si="2"/>
        <v>1.3467289756822582</v>
      </c>
    </row>
    <row r="12" spans="1:10" x14ac:dyDescent="0.25">
      <c r="G12">
        <v>8</v>
      </c>
      <c r="H12" s="5">
        <f t="shared" si="0"/>
        <v>109.08504703026293</v>
      </c>
      <c r="I12">
        <f t="shared" si="1"/>
        <v>0.15</v>
      </c>
      <c r="J12" s="5">
        <f t="shared" si="2"/>
        <v>1.3635630878782867</v>
      </c>
    </row>
    <row r="13" spans="1:10" x14ac:dyDescent="0.25">
      <c r="G13">
        <v>9</v>
      </c>
      <c r="H13" s="5">
        <f t="shared" si="0"/>
        <v>110.44861011814122</v>
      </c>
      <c r="I13">
        <f t="shared" si="1"/>
        <v>0.15</v>
      </c>
      <c r="J13" s="5">
        <f t="shared" si="2"/>
        <v>1.380607626476765</v>
      </c>
    </row>
    <row r="14" spans="1:10" x14ac:dyDescent="0.25">
      <c r="G14">
        <v>10</v>
      </c>
      <c r="H14" s="5">
        <f t="shared" si="0"/>
        <v>111.82921774461798</v>
      </c>
      <c r="I14">
        <f t="shared" si="1"/>
        <v>0.15</v>
      </c>
      <c r="J14" s="5">
        <f t="shared" si="2"/>
        <v>1.3978652218077245</v>
      </c>
    </row>
    <row r="15" spans="1:10" x14ac:dyDescent="0.25">
      <c r="G15">
        <v>11</v>
      </c>
      <c r="H15" s="5">
        <f t="shared" si="0"/>
        <v>113.2270829664257</v>
      </c>
      <c r="I15">
        <f t="shared" si="1"/>
        <v>0.15</v>
      </c>
      <c r="J15" s="5">
        <f t="shared" si="2"/>
        <v>1.4153385370803211</v>
      </c>
    </row>
    <row r="16" spans="1:10" x14ac:dyDescent="0.25">
      <c r="G16">
        <v>12</v>
      </c>
      <c r="H16" s="5">
        <f t="shared" si="0"/>
        <v>114.64242150350601</v>
      </c>
      <c r="I16">
        <f t="shared" si="1"/>
        <v>0.15</v>
      </c>
      <c r="J16" s="5">
        <f t="shared" si="2"/>
        <v>1.433030268793825</v>
      </c>
    </row>
    <row r="17" spans="8:10" x14ac:dyDescent="0.25">
      <c r="H17" s="5"/>
      <c r="J17" s="5">
        <f>SUM(J5:J16)</f>
        <v>16.075451772299871</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selection activeCell="E22" sqref="E22"/>
    </sheetView>
  </sheetViews>
  <sheetFormatPr defaultRowHeight="15" x14ac:dyDescent="0.25"/>
  <cols>
    <col min="1" max="1" width="11.5703125" bestFit="1" customWidth="1"/>
    <col min="3" max="3" width="11.28515625" bestFit="1" customWidth="1"/>
  </cols>
  <sheetData>
    <row r="2" spans="1:4" x14ac:dyDescent="0.25">
      <c r="A2" t="s">
        <v>186</v>
      </c>
    </row>
    <row r="4" spans="1:4" x14ac:dyDescent="0.25">
      <c r="A4" t="s">
        <v>187</v>
      </c>
      <c r="B4" s="18" t="s">
        <v>168</v>
      </c>
      <c r="C4" s="9" t="s">
        <v>185</v>
      </c>
      <c r="D4" t="s">
        <v>189</v>
      </c>
    </row>
    <row r="5" spans="1:4" x14ac:dyDescent="0.25">
      <c r="C5" t="s">
        <v>188</v>
      </c>
    </row>
    <row r="7" spans="1:4" x14ac:dyDescent="0.25">
      <c r="C7" s="22">
        <v>9</v>
      </c>
      <c r="D7" t="s">
        <v>189</v>
      </c>
    </row>
    <row r="8" spans="1:4" x14ac:dyDescent="0.25">
      <c r="C8" s="21">
        <v>134.17420000000001</v>
      </c>
    </row>
    <row r="10" spans="1:4" x14ac:dyDescent="0.25">
      <c r="C10" s="23">
        <f>C7/C8</f>
        <v>6.7076979031736345E-2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workbookViewId="0">
      <selection activeCell="F21" sqref="F21"/>
    </sheetView>
  </sheetViews>
  <sheetFormatPr defaultRowHeight="15" x14ac:dyDescent="0.25"/>
  <cols>
    <col min="1" max="1" width="19.42578125" bestFit="1" customWidth="1"/>
    <col min="2" max="2" width="21.28515625" customWidth="1"/>
    <col min="3" max="3" width="9.7109375" bestFit="1" customWidth="1"/>
    <col min="5" max="5" width="9.7109375" bestFit="1" customWidth="1"/>
    <col min="6" max="6" width="13.28515625" bestFit="1" customWidth="1"/>
  </cols>
  <sheetData>
    <row r="2" spans="1:7" x14ac:dyDescent="0.25">
      <c r="A2" t="s">
        <v>190</v>
      </c>
    </row>
    <row r="4" spans="1:7" x14ac:dyDescent="0.25">
      <c r="A4" t="s">
        <v>73</v>
      </c>
      <c r="B4" t="s">
        <v>192</v>
      </c>
      <c r="C4" s="4" t="s">
        <v>193</v>
      </c>
      <c r="E4" t="s">
        <v>194</v>
      </c>
    </row>
    <row r="5" spans="1:7" x14ac:dyDescent="0.25">
      <c r="A5" t="s">
        <v>191</v>
      </c>
      <c r="C5" s="5">
        <v>2400</v>
      </c>
      <c r="D5">
        <v>1.25</v>
      </c>
      <c r="E5" s="5">
        <f>+C5*D5</f>
        <v>3000</v>
      </c>
      <c r="F5" s="5">
        <f>+E5-C5</f>
        <v>600</v>
      </c>
    </row>
    <row r="6" spans="1:7" x14ac:dyDescent="0.25">
      <c r="A6" t="s">
        <v>195</v>
      </c>
      <c r="B6" s="24">
        <v>0.85</v>
      </c>
      <c r="C6" s="5">
        <f>-C5*0.85</f>
        <v>-2040</v>
      </c>
      <c r="D6">
        <v>1.25</v>
      </c>
      <c r="E6" s="5">
        <f>C6*D6</f>
        <v>-2550</v>
      </c>
      <c r="F6" s="6">
        <f>+E6-C6</f>
        <v>-510</v>
      </c>
    </row>
    <row r="7" spans="1:7" x14ac:dyDescent="0.25">
      <c r="A7" s="1" t="s">
        <v>196</v>
      </c>
      <c r="C7" s="6">
        <f>SUM(C5:C6)</f>
        <v>360</v>
      </c>
      <c r="E7" s="6">
        <f>SUM(E5:E6)</f>
        <v>450</v>
      </c>
      <c r="F7" s="25">
        <f>SUM(F5:F6)</f>
        <v>90</v>
      </c>
      <c r="G7" s="3" t="s">
        <v>197</v>
      </c>
    </row>
    <row r="9" spans="1:7" x14ac:dyDescent="0.25">
      <c r="A9" s="1" t="s">
        <v>198</v>
      </c>
    </row>
    <row r="10" spans="1:7" x14ac:dyDescent="0.25">
      <c r="A10" t="s">
        <v>199</v>
      </c>
    </row>
    <row r="11" spans="1:7" x14ac:dyDescent="0.25">
      <c r="A11" s="26" t="s">
        <v>200</v>
      </c>
      <c r="B11" t="s">
        <v>201</v>
      </c>
      <c r="C11" s="5">
        <f>+C5*1/12</f>
        <v>200</v>
      </c>
    </row>
    <row r="12" spans="1:7" x14ac:dyDescent="0.25">
      <c r="A12" s="27" t="s">
        <v>194</v>
      </c>
      <c r="B12" t="s">
        <v>202</v>
      </c>
      <c r="C12" s="5">
        <f>+E5*2/12</f>
        <v>500</v>
      </c>
    </row>
    <row r="13" spans="1:7" x14ac:dyDescent="0.25">
      <c r="D13" s="6">
        <f>+C12-C11</f>
        <v>300</v>
      </c>
    </row>
    <row r="14" spans="1:7" x14ac:dyDescent="0.25">
      <c r="A14" t="s">
        <v>204</v>
      </c>
      <c r="D14" s="5">
        <v>100</v>
      </c>
    </row>
    <row r="15" spans="1:7" x14ac:dyDescent="0.25">
      <c r="A15" t="s">
        <v>203</v>
      </c>
      <c r="D15" s="5">
        <v>-20</v>
      </c>
    </row>
    <row r="16" spans="1:7" x14ac:dyDescent="0.25">
      <c r="D16" s="6">
        <f>SUM(D13:D15)</f>
        <v>380</v>
      </c>
    </row>
    <row r="17" spans="1:7" x14ac:dyDescent="0.25">
      <c r="A17" t="s">
        <v>205</v>
      </c>
      <c r="D17" t="s">
        <v>206</v>
      </c>
      <c r="F17" s="28">
        <f>+D16*0.2</f>
        <v>76</v>
      </c>
      <c r="G17" s="3" t="s">
        <v>207</v>
      </c>
    </row>
    <row r="18" spans="1:7" ht="15.75" thickBot="1" x14ac:dyDescent="0.3">
      <c r="A18" t="s">
        <v>208</v>
      </c>
      <c r="F18" s="7">
        <f>F7-F17</f>
        <v>14</v>
      </c>
      <c r="G18" t="s">
        <v>209</v>
      </c>
    </row>
    <row r="19" spans="1:7" ht="15.75" thickTop="1" x14ac:dyDescent="0.25"/>
    <row r="20" spans="1:7" x14ac:dyDescent="0.25">
      <c r="A20" t="s">
        <v>74</v>
      </c>
    </row>
    <row r="21" spans="1:7" x14ac:dyDescent="0.25">
      <c r="B21" t="s">
        <v>192</v>
      </c>
      <c r="C21" s="4" t="s">
        <v>193</v>
      </c>
      <c r="E21" t="s">
        <v>194</v>
      </c>
    </row>
    <row r="22" spans="1:7" x14ac:dyDescent="0.25">
      <c r="A22" t="s">
        <v>191</v>
      </c>
      <c r="C22" s="5">
        <v>2400</v>
      </c>
      <c r="D22">
        <v>1.25</v>
      </c>
      <c r="E22" s="5">
        <f>+C22*D22</f>
        <v>3000</v>
      </c>
      <c r="F22" s="5">
        <f>+E22-C22</f>
        <v>600</v>
      </c>
    </row>
    <row r="23" spans="1:7" x14ac:dyDescent="0.25">
      <c r="A23" t="s">
        <v>195</v>
      </c>
      <c r="B23" s="24">
        <v>0.85</v>
      </c>
      <c r="C23" s="5">
        <f>-C22*0.85</f>
        <v>-2040</v>
      </c>
      <c r="D23">
        <v>1.25</v>
      </c>
      <c r="E23" s="5">
        <f>C23*D23</f>
        <v>-2550</v>
      </c>
      <c r="F23" s="6">
        <f>+E23-C23</f>
        <v>-510</v>
      </c>
    </row>
    <row r="24" spans="1:7" x14ac:dyDescent="0.25">
      <c r="A24" s="1" t="s">
        <v>196</v>
      </c>
      <c r="C24" s="6">
        <f>SUM(C22:C23)</f>
        <v>360</v>
      </c>
      <c r="E24" s="6">
        <f>SUM(E22:E23)</f>
        <v>450</v>
      </c>
      <c r="F24" s="25">
        <f>SUM(F22:F23)</f>
        <v>90</v>
      </c>
      <c r="G24" s="3" t="s">
        <v>197</v>
      </c>
    </row>
    <row r="26" spans="1:7" x14ac:dyDescent="0.25">
      <c r="A26" s="1" t="s">
        <v>198</v>
      </c>
    </row>
    <row r="27" spans="1:7" x14ac:dyDescent="0.25">
      <c r="A27" t="s">
        <v>199</v>
      </c>
    </row>
    <row r="28" spans="1:7" x14ac:dyDescent="0.25">
      <c r="A28" s="26" t="s">
        <v>200</v>
      </c>
      <c r="B28" t="s">
        <v>210</v>
      </c>
      <c r="C28" s="5">
        <f>+C22*0.0833333333333333</f>
        <v>200</v>
      </c>
    </row>
    <row r="29" spans="1:7" x14ac:dyDescent="0.25">
      <c r="A29" s="27" t="s">
        <v>194</v>
      </c>
      <c r="B29" t="s">
        <v>211</v>
      </c>
      <c r="C29" s="5">
        <f>(2400*1/12)+(600*2/12)</f>
        <v>300</v>
      </c>
    </row>
    <row r="30" spans="1:7" x14ac:dyDescent="0.25">
      <c r="D30" s="6">
        <f>+C29-C28</f>
        <v>100</v>
      </c>
    </row>
    <row r="31" spans="1:7" x14ac:dyDescent="0.25">
      <c r="A31" t="s">
        <v>204</v>
      </c>
      <c r="D31" s="5">
        <v>100</v>
      </c>
    </row>
    <row r="32" spans="1:7" x14ac:dyDescent="0.25">
      <c r="A32" t="s">
        <v>203</v>
      </c>
      <c r="D32" s="5">
        <v>-20</v>
      </c>
    </row>
    <row r="33" spans="1:7" x14ac:dyDescent="0.25">
      <c r="D33" s="6">
        <f>SUM(D30:D32)</f>
        <v>180</v>
      </c>
    </row>
    <row r="34" spans="1:7" x14ac:dyDescent="0.25">
      <c r="A34" t="s">
        <v>205</v>
      </c>
      <c r="D34" t="s">
        <v>212</v>
      </c>
      <c r="F34" s="28">
        <f>+D33*0.2</f>
        <v>36</v>
      </c>
      <c r="G34" s="3" t="s">
        <v>207</v>
      </c>
    </row>
    <row r="35" spans="1:7" ht="15.75" thickBot="1" x14ac:dyDescent="0.3">
      <c r="A35" t="s">
        <v>208</v>
      </c>
      <c r="F35" s="7">
        <f>F24-F34</f>
        <v>54</v>
      </c>
      <c r="G35" t="s">
        <v>209</v>
      </c>
    </row>
    <row r="36" spans="1:7" ht="15.75" thickTop="1"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705111C6CE9A4D9A32EDD3CE4225B6" ma:contentTypeVersion="2" ma:contentTypeDescription="Create a new document." ma:contentTypeScope="" ma:versionID="65a55d3207c9bb9e6d7f68b455286c2a">
  <xsd:schema xmlns:xsd="http://www.w3.org/2001/XMLSchema" xmlns:xs="http://www.w3.org/2001/XMLSchema" xmlns:p="http://schemas.microsoft.com/office/2006/metadata/properties" xmlns:ns2="894abf72-65ba-408b-9569-bc5346983487" targetNamespace="http://schemas.microsoft.com/office/2006/metadata/properties" ma:root="true" ma:fieldsID="82607859529cf660e07889a740458c09" ns2:_="">
    <xsd:import namespace="894abf72-65ba-408b-9569-bc53469834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abf72-65ba-408b-9569-bc53469834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B53391-C034-4F4C-A699-A080F534C162}">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894abf72-65ba-408b-9569-bc534698348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B00040-2768-43CD-A46E-29366173EE31}">
  <ds:schemaRefs>
    <ds:schemaRef ds:uri="http://schemas.microsoft.com/sharepoint/v3/contenttype/forms"/>
  </ds:schemaRefs>
</ds:datastoreItem>
</file>

<file path=customXml/itemProps3.xml><?xml version="1.0" encoding="utf-8"?>
<ds:datastoreItem xmlns:ds="http://schemas.openxmlformats.org/officeDocument/2006/customXml" ds:itemID="{AF2B9629-412E-4448-9945-6A272F9B5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abf72-65ba-408b-9569-bc5346983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Sheet1</vt:lpstr>
      <vt:lpstr>E1</vt:lpstr>
      <vt:lpstr>E2</vt:lpstr>
      <vt:lpstr>E3</vt:lpstr>
      <vt:lpstr>E4</vt:lpstr>
      <vt:lpstr>EAR</vt:lpstr>
      <vt:lpstr>E5</vt:lpstr>
      <vt:lpstr>E6</vt:lpstr>
      <vt:lpstr>E7</vt:lpstr>
      <vt:lpstr>E8</vt:lpstr>
      <vt:lpstr>E9</vt:lpstr>
      <vt:lpstr>E10</vt:lpstr>
      <vt:lpstr>E11</vt:lpstr>
      <vt:lpstr>E12</vt:lpstr>
      <vt:lpstr>E13</vt:lpstr>
      <vt:lpstr>E14</vt:lpstr>
      <vt:lpstr>Q1</vt:lpstr>
      <vt:lpstr>Q2</vt:lpstr>
      <vt:lpstr>Q3</vt:lpstr>
      <vt:lpstr>2021 Jul Q5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Sunanda Abeykoon</dc:creator>
  <cp:lastModifiedBy>Amali</cp:lastModifiedBy>
  <dcterms:created xsi:type="dcterms:W3CDTF">2022-07-10T03:32:03Z</dcterms:created>
  <dcterms:modified xsi:type="dcterms:W3CDTF">2023-05-20T05:47:10Z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0x01010087705111C6CE9A4D9A32EDD3CE4225B6</vt:lpwstr>
  </property>
</Properties>
</file>