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40" tabRatio="857"/>
  </bookViews>
  <sheets>
    <sheet name="Sheet1" sheetId="1" r:id="rId1"/>
    <sheet name="E1" sheetId="2" r:id="rId2"/>
    <sheet name="E2" sheetId="3" r:id="rId3"/>
    <sheet name="E3" sheetId="4" r:id="rId4"/>
    <sheet name="E4" sheetId="5" r:id="rId5"/>
    <sheet name="E5" sheetId="6" r:id="rId6"/>
    <sheet name="E6" sheetId="7" r:id="rId7"/>
    <sheet name="E7" sheetId="8" r:id="rId8"/>
    <sheet name="E8" sheetId="9" r:id="rId9"/>
    <sheet name="E9" sheetId="10" r:id="rId10"/>
    <sheet name="E11" sheetId="11" r:id="rId11"/>
    <sheet name="E12" sheetId="12" r:id="rId12"/>
    <sheet name="E13" sheetId="13" r:id="rId13"/>
    <sheet name="E14" sheetId="14" r:id="rId14"/>
    <sheet name="E15" sheetId="15" r:id="rId15"/>
    <sheet name="E16" sheetId="16" r:id="rId16"/>
    <sheet name="E18" sheetId="17" r:id="rId17"/>
    <sheet name="E19" sheetId="18" r:id="rId18"/>
    <sheet name="E21" sheetId="19" r:id="rId19"/>
    <sheet name="Q1" sheetId="20" r:id="rId20"/>
    <sheet name="Jul 21" sheetId="21" r:id="rId21"/>
    <sheet name="Q2" sheetId="22" r:id="rId22"/>
    <sheet name="Q4" sheetId="24" r:id="rId23"/>
  </sheets>
  <calcPr calcId="152511"/>
</workbook>
</file>

<file path=xl/calcChain.xml><?xml version="1.0" encoding="utf-8"?>
<calcChain xmlns="http://schemas.openxmlformats.org/spreadsheetml/2006/main">
  <c r="I66" i="24" l="1"/>
  <c r="C66" i="24"/>
  <c r="I62" i="24"/>
  <c r="E62" i="24"/>
  <c r="G66" i="24"/>
  <c r="I58" i="24"/>
  <c r="G58" i="24"/>
  <c r="E58" i="24"/>
  <c r="C58" i="24"/>
  <c r="G54" i="24"/>
  <c r="I54" i="24"/>
  <c r="C50" i="24"/>
  <c r="K39" i="24"/>
  <c r="E39" i="24"/>
  <c r="C39" i="24"/>
  <c r="G35" i="24"/>
  <c r="I35" i="24" s="1"/>
  <c r="I39" i="24"/>
  <c r="I29" i="24"/>
  <c r="F27" i="24"/>
  <c r="F25" i="24"/>
  <c r="F23" i="24"/>
  <c r="C29" i="24"/>
  <c r="C27" i="24"/>
  <c r="C25" i="24"/>
  <c r="C23" i="24"/>
  <c r="F17" i="24"/>
  <c r="F15" i="24"/>
  <c r="F13" i="24"/>
  <c r="F11" i="24"/>
  <c r="C15" i="24"/>
  <c r="C13" i="24"/>
  <c r="C11" i="24"/>
  <c r="M13" i="24"/>
  <c r="M12" i="24"/>
  <c r="M11" i="24"/>
  <c r="B29" i="24"/>
  <c r="B17" i="24"/>
  <c r="C17" i="24" s="1"/>
  <c r="E5" i="24"/>
  <c r="E6" i="24"/>
  <c r="E4" i="24"/>
  <c r="C6" i="24"/>
  <c r="C5" i="24"/>
  <c r="F49" i="22"/>
  <c r="F47" i="22"/>
  <c r="F45" i="22"/>
  <c r="F43" i="22"/>
  <c r="C49" i="22"/>
  <c r="C47" i="22"/>
  <c r="C45" i="22"/>
  <c r="C43" i="22"/>
  <c r="B43" i="22"/>
  <c r="B49" i="22" s="1"/>
  <c r="B47" i="22"/>
  <c r="B45" i="22"/>
  <c r="F37" i="22"/>
  <c r="F35" i="22"/>
  <c r="F33" i="22"/>
  <c r="F31" i="22"/>
  <c r="C35" i="22"/>
  <c r="C33" i="22"/>
  <c r="C31" i="22"/>
  <c r="B37" i="22"/>
  <c r="C37" i="22" s="1"/>
  <c r="K24" i="22"/>
  <c r="I24" i="22"/>
  <c r="C24" i="22"/>
  <c r="I20" i="22"/>
  <c r="E20" i="22"/>
  <c r="C20" i="22"/>
  <c r="E17" i="22"/>
  <c r="C17" i="22"/>
  <c r="G13" i="22"/>
  <c r="C13" i="22"/>
  <c r="E13" i="22"/>
  <c r="I6" i="22"/>
  <c r="I5" i="22"/>
  <c r="C6" i="22"/>
  <c r="C5" i="22"/>
  <c r="F25" i="21"/>
  <c r="F23" i="21"/>
  <c r="C25" i="21"/>
  <c r="C27" i="21" s="1"/>
  <c r="F17" i="21"/>
  <c r="F15" i="21"/>
  <c r="F13" i="21"/>
  <c r="C15" i="21"/>
  <c r="G7" i="21"/>
  <c r="I7" i="21"/>
  <c r="I5" i="21"/>
  <c r="G5" i="21"/>
  <c r="B27" i="21"/>
  <c r="F27" i="21"/>
  <c r="B17" i="21"/>
  <c r="C17" i="21" s="1"/>
  <c r="F29" i="24" l="1"/>
  <c r="I17" i="22"/>
  <c r="I13" i="22"/>
  <c r="I9" i="21"/>
  <c r="I60" i="20"/>
  <c r="F60" i="20"/>
  <c r="F58" i="20"/>
  <c r="F56" i="20"/>
  <c r="C58" i="20"/>
  <c r="C60" i="20" s="1"/>
  <c r="C56" i="20"/>
  <c r="B58" i="20"/>
  <c r="B56" i="20"/>
  <c r="F50" i="20"/>
  <c r="F48" i="20"/>
  <c r="F46" i="20"/>
  <c r="C48" i="20"/>
  <c r="C46" i="20"/>
  <c r="B50" i="20"/>
  <c r="C50" i="20" s="1"/>
  <c r="I40" i="20"/>
  <c r="C40" i="20"/>
  <c r="I36" i="20"/>
  <c r="C36" i="20"/>
  <c r="I32" i="20"/>
  <c r="C32" i="20"/>
  <c r="E32" i="20"/>
  <c r="C28" i="20"/>
  <c r="I28" i="20"/>
  <c r="C23" i="20"/>
  <c r="I23" i="20" s="1"/>
  <c r="I19" i="20"/>
  <c r="E14" i="20"/>
  <c r="C14" i="20"/>
  <c r="I14" i="20"/>
  <c r="I10" i="20"/>
  <c r="G10" i="20"/>
  <c r="C6" i="20"/>
  <c r="O77" i="19"/>
  <c r="O75" i="19"/>
  <c r="L75" i="19"/>
  <c r="N75" i="19"/>
  <c r="M75" i="19"/>
  <c r="F66" i="19"/>
  <c r="I107" i="19"/>
  <c r="O59" i="19" s="1"/>
  <c r="E103" i="19"/>
  <c r="C103" i="19"/>
  <c r="I103" i="19" s="1"/>
  <c r="M73" i="19" s="1"/>
  <c r="I100" i="19"/>
  <c r="M71" i="19" s="1"/>
  <c r="C96" i="19"/>
  <c r="I96" i="19" s="1"/>
  <c r="M70" i="19" s="1"/>
  <c r="I92" i="19"/>
  <c r="N69" i="19" s="1"/>
  <c r="C92" i="19"/>
  <c r="E88" i="19"/>
  <c r="I88" i="19" s="1"/>
  <c r="M68" i="19" s="1"/>
  <c r="C84" i="19"/>
  <c r="I84" i="19" s="1"/>
  <c r="N66" i="19" s="1"/>
  <c r="E80" i="19"/>
  <c r="I80" i="19" s="1"/>
  <c r="M65" i="19" s="1"/>
  <c r="I76" i="19"/>
  <c r="M64" i="19" s="1"/>
  <c r="C76" i="19"/>
  <c r="N73" i="19"/>
  <c r="N72" i="19"/>
  <c r="I72" i="19"/>
  <c r="E72" i="19"/>
  <c r="N70" i="19"/>
  <c r="N68" i="19"/>
  <c r="M67" i="19"/>
  <c r="G67" i="19"/>
  <c r="C66" i="19"/>
  <c r="D67" i="19" s="1"/>
  <c r="F65" i="19"/>
  <c r="C65" i="19"/>
  <c r="N64" i="19"/>
  <c r="N74" i="19" s="1"/>
  <c r="G64" i="19"/>
  <c r="D64" i="19"/>
  <c r="M63" i="19"/>
  <c r="M19" i="19"/>
  <c r="M17" i="19"/>
  <c r="M16" i="19"/>
  <c r="N15" i="19"/>
  <c r="M14" i="19"/>
  <c r="N12" i="19"/>
  <c r="M11" i="19"/>
  <c r="M10" i="19"/>
  <c r="M9" i="19"/>
  <c r="O6" i="19"/>
  <c r="O5" i="19"/>
  <c r="O4" i="19"/>
  <c r="N19" i="19"/>
  <c r="N18" i="19"/>
  <c r="N16" i="19"/>
  <c r="N14" i="19"/>
  <c r="M13" i="19"/>
  <c r="N10" i="19"/>
  <c r="I49" i="19"/>
  <c r="E49" i="19"/>
  <c r="C49" i="19"/>
  <c r="C42" i="19"/>
  <c r="I42" i="19" s="1"/>
  <c r="C38" i="19"/>
  <c r="I38" i="19" s="1"/>
  <c r="E34" i="19"/>
  <c r="I34" i="19" s="1"/>
  <c r="C30" i="19"/>
  <c r="I30" i="19" s="1"/>
  <c r="E26" i="19"/>
  <c r="I26" i="19" s="1"/>
  <c r="C22" i="19"/>
  <c r="I22" i="19" s="1"/>
  <c r="E18" i="19"/>
  <c r="I18" i="19" s="1"/>
  <c r="I53" i="19"/>
  <c r="I46" i="19"/>
  <c r="F12" i="19"/>
  <c r="F11" i="19"/>
  <c r="G13" i="19" s="1"/>
  <c r="G10" i="19"/>
  <c r="C12" i="19"/>
  <c r="C11" i="19"/>
  <c r="D10" i="19"/>
  <c r="Q39" i="18"/>
  <c r="P11" i="18"/>
  <c r="O10" i="18"/>
  <c r="Q6" i="18"/>
  <c r="Q5" i="18"/>
  <c r="J33" i="18"/>
  <c r="F29" i="18"/>
  <c r="J29" i="18" s="1"/>
  <c r="P16" i="18" s="1"/>
  <c r="D25" i="18"/>
  <c r="J25" i="18" s="1"/>
  <c r="P15" i="18" s="1"/>
  <c r="F21" i="18"/>
  <c r="J21" i="18" s="1"/>
  <c r="O14" i="18" s="1"/>
  <c r="D17" i="18"/>
  <c r="J17" i="18" s="1"/>
  <c r="P13" i="18" s="1"/>
  <c r="F13" i="18"/>
  <c r="J13" i="18" s="1"/>
  <c r="P12" i="18" s="1"/>
  <c r="D9" i="18"/>
  <c r="J9" i="18" s="1"/>
  <c r="F5" i="18"/>
  <c r="J5" i="18" s="1"/>
  <c r="O29" i="17"/>
  <c r="Q21" i="17"/>
  <c r="Q20" i="17"/>
  <c r="P20" i="17"/>
  <c r="O20" i="17"/>
  <c r="P19" i="17"/>
  <c r="P18" i="17"/>
  <c r="O17" i="17"/>
  <c r="P16" i="17"/>
  <c r="P15" i="17"/>
  <c r="P14" i="17"/>
  <c r="O13" i="17"/>
  <c r="P12" i="17"/>
  <c r="O11" i="17"/>
  <c r="P10" i="17"/>
  <c r="O9" i="17"/>
  <c r="Q6" i="17"/>
  <c r="Q5" i="17"/>
  <c r="Q4" i="17"/>
  <c r="J59" i="17"/>
  <c r="F55" i="17"/>
  <c r="J55" i="17" s="1"/>
  <c r="D51" i="17"/>
  <c r="J51" i="17"/>
  <c r="J47" i="17"/>
  <c r="F43" i="17"/>
  <c r="D43" i="17"/>
  <c r="J40" i="17"/>
  <c r="J36" i="17"/>
  <c r="D36" i="17"/>
  <c r="D32" i="17"/>
  <c r="J32" i="17" s="1"/>
  <c r="F28" i="17"/>
  <c r="J28" i="17" s="1"/>
  <c r="D24" i="17"/>
  <c r="J24" i="17" s="1"/>
  <c r="J21" i="17"/>
  <c r="J17" i="17"/>
  <c r="D17" i="17"/>
  <c r="F13" i="17"/>
  <c r="J13" i="17"/>
  <c r="J9" i="17"/>
  <c r="D9" i="17"/>
  <c r="J5" i="17"/>
  <c r="F5" i="17"/>
  <c r="B60" i="20" l="1"/>
  <c r="O74" i="19"/>
  <c r="M74" i="19"/>
  <c r="D68" i="19"/>
  <c r="O58" i="19" s="1"/>
  <c r="O60" i="19" s="1"/>
  <c r="G68" i="19"/>
  <c r="N20" i="19"/>
  <c r="M20" i="19"/>
  <c r="D13" i="19"/>
  <c r="D14" i="19" s="1"/>
  <c r="G14" i="19"/>
  <c r="O17" i="18"/>
  <c r="P17" i="18"/>
  <c r="Q17" i="18" s="1"/>
  <c r="Q7" i="18"/>
  <c r="J43" i="17"/>
  <c r="F40" i="16"/>
  <c r="F38" i="16"/>
  <c r="C40" i="16"/>
  <c r="C42" i="16" s="1"/>
  <c r="C38" i="16"/>
  <c r="F30" i="16"/>
  <c r="F28" i="16"/>
  <c r="C30" i="16"/>
  <c r="C28" i="16"/>
  <c r="I22" i="16"/>
  <c r="I20" i="16"/>
  <c r="T15" i="16"/>
  <c r="T13" i="16"/>
  <c r="I17" i="16"/>
  <c r="I15" i="16"/>
  <c r="I13" i="16"/>
  <c r="I10" i="16"/>
  <c r="I8" i="16"/>
  <c r="E8" i="16"/>
  <c r="C8" i="16"/>
  <c r="E6" i="16"/>
  <c r="C6" i="16"/>
  <c r="B42" i="16"/>
  <c r="B32" i="16"/>
  <c r="C32" i="16" s="1"/>
  <c r="F41" i="14"/>
  <c r="F39" i="14"/>
  <c r="F43" i="14" s="1"/>
  <c r="C41" i="14"/>
  <c r="C39" i="14"/>
  <c r="C43" i="14" s="1"/>
  <c r="F33" i="14"/>
  <c r="F31" i="14"/>
  <c r="F29" i="14"/>
  <c r="C31" i="14"/>
  <c r="C29" i="14"/>
  <c r="B33" i="14"/>
  <c r="I25" i="14"/>
  <c r="I23" i="14"/>
  <c r="I21" i="14"/>
  <c r="I18" i="14"/>
  <c r="I16" i="14"/>
  <c r="I11" i="14"/>
  <c r="E9" i="14"/>
  <c r="I9" i="14" s="1"/>
  <c r="C9" i="14"/>
  <c r="I7" i="14"/>
  <c r="E7" i="14"/>
  <c r="C7" i="14"/>
  <c r="B43" i="14"/>
  <c r="C33" i="14"/>
  <c r="I14" i="14"/>
  <c r="F27" i="13"/>
  <c r="F25" i="13"/>
  <c r="F23" i="13"/>
  <c r="C27" i="13"/>
  <c r="C25" i="13"/>
  <c r="C23" i="13"/>
  <c r="B25" i="13"/>
  <c r="B23" i="13"/>
  <c r="F15" i="13"/>
  <c r="F13" i="13"/>
  <c r="F17" i="13" s="1"/>
  <c r="C15" i="13"/>
  <c r="C13" i="13"/>
  <c r="I9" i="13"/>
  <c r="I7" i="13"/>
  <c r="I5" i="13"/>
  <c r="C7" i="13"/>
  <c r="C5" i="13"/>
  <c r="B17" i="13"/>
  <c r="C17" i="13" s="1"/>
  <c r="F41" i="12"/>
  <c r="F39" i="12"/>
  <c r="F37" i="12"/>
  <c r="C41" i="12"/>
  <c r="C39" i="12"/>
  <c r="C37" i="12"/>
  <c r="B39" i="12"/>
  <c r="B37" i="12"/>
  <c r="B41" i="12"/>
  <c r="F29" i="12"/>
  <c r="F31" i="12" s="1"/>
  <c r="F27" i="12"/>
  <c r="C29" i="12"/>
  <c r="C27" i="12"/>
  <c r="B31" i="12"/>
  <c r="C31" i="12" s="1"/>
  <c r="I23" i="12"/>
  <c r="I21" i="12"/>
  <c r="C21" i="12"/>
  <c r="C19" i="12"/>
  <c r="I19" i="12"/>
  <c r="I16" i="12"/>
  <c r="I14" i="12"/>
  <c r="E14" i="12"/>
  <c r="I12" i="12"/>
  <c r="E12" i="12"/>
  <c r="I9" i="12"/>
  <c r="I7" i="12"/>
  <c r="I5" i="12"/>
  <c r="C7" i="12"/>
  <c r="C5" i="12"/>
  <c r="F39" i="11"/>
  <c r="F37" i="11"/>
  <c r="F35" i="11"/>
  <c r="C39" i="11"/>
  <c r="C37" i="11"/>
  <c r="C35" i="11"/>
  <c r="B37" i="11"/>
  <c r="B35" i="11"/>
  <c r="B39" i="11"/>
  <c r="F29" i="11"/>
  <c r="F27" i="11"/>
  <c r="F25" i="11"/>
  <c r="C27" i="11"/>
  <c r="C25" i="11"/>
  <c r="C29" i="11"/>
  <c r="B29" i="11"/>
  <c r="I22" i="11"/>
  <c r="I20" i="11"/>
  <c r="C20" i="11"/>
  <c r="I18" i="11"/>
  <c r="C18" i="11"/>
  <c r="O20" i="19" l="1"/>
  <c r="O21" i="19" s="1"/>
  <c r="Q18" i="18"/>
  <c r="Q20" i="18" s="1"/>
  <c r="F42" i="16"/>
  <c r="F32" i="16"/>
  <c r="T17" i="16"/>
  <c r="I6" i="16"/>
  <c r="I24" i="16"/>
  <c r="B27" i="13"/>
  <c r="C29" i="10"/>
  <c r="E23" i="10"/>
  <c r="F25" i="10"/>
  <c r="E17" i="10"/>
  <c r="E18" i="10"/>
  <c r="C16" i="10"/>
  <c r="I12" i="10"/>
  <c r="I9" i="10"/>
  <c r="M5" i="10"/>
  <c r="B10" i="10"/>
  <c r="B9" i="10"/>
  <c r="B8" i="10"/>
  <c r="I55" i="9"/>
  <c r="C55" i="9"/>
  <c r="C51" i="9"/>
  <c r="I51" i="9" s="1"/>
  <c r="E47" i="9"/>
  <c r="C47" i="9"/>
  <c r="I47" i="9"/>
  <c r="I44" i="9"/>
  <c r="I41" i="9"/>
  <c r="I37" i="9"/>
  <c r="C37" i="9"/>
  <c r="I33" i="9"/>
  <c r="C33" i="9"/>
  <c r="I29" i="9"/>
  <c r="E29" i="9"/>
  <c r="C25" i="9"/>
  <c r="I25" i="9" s="1"/>
  <c r="C21" i="9"/>
  <c r="I21" i="9" s="1"/>
  <c r="C17" i="9"/>
  <c r="I17" i="9" s="1"/>
  <c r="I13" i="9"/>
  <c r="E9" i="9"/>
  <c r="I9" i="9" s="1"/>
  <c r="E5" i="9"/>
  <c r="I5" i="9" s="1"/>
  <c r="C27" i="8"/>
  <c r="C26" i="8"/>
  <c r="C23" i="8"/>
  <c r="C22" i="8"/>
  <c r="C18" i="8"/>
  <c r="C17" i="8"/>
  <c r="C10" i="8"/>
  <c r="C9" i="8"/>
  <c r="C6" i="8"/>
  <c r="C7" i="8" s="1"/>
  <c r="C13" i="8" s="1"/>
  <c r="C5" i="8"/>
  <c r="C18" i="7"/>
  <c r="C16" i="7"/>
  <c r="C10" i="7"/>
  <c r="C13" i="7" s="1"/>
  <c r="C9" i="7"/>
  <c r="C8" i="7"/>
  <c r="C6" i="7"/>
  <c r="C5" i="7"/>
  <c r="C4" i="7"/>
  <c r="G13" i="5"/>
  <c r="I48" i="5"/>
  <c r="E43" i="5"/>
  <c r="G9" i="5"/>
  <c r="H8" i="5"/>
  <c r="G8" i="5"/>
  <c r="I39" i="5"/>
  <c r="I34" i="5"/>
  <c r="G17" i="5"/>
  <c r="E24" i="5"/>
  <c r="I24" i="5" s="1"/>
  <c r="C17" i="5"/>
  <c r="C19" i="5" s="1"/>
  <c r="C15" i="5"/>
  <c r="C11" i="5"/>
  <c r="C9" i="5"/>
  <c r="C6" i="5"/>
  <c r="C5" i="5"/>
  <c r="I47" i="5"/>
  <c r="G12" i="5" s="1"/>
  <c r="I43" i="5"/>
  <c r="G11" i="5" s="1"/>
  <c r="I28" i="5"/>
  <c r="G16" i="5" s="1"/>
  <c r="H16" i="5"/>
  <c r="H15" i="5"/>
  <c r="H12" i="5"/>
  <c r="H11" i="5"/>
  <c r="H7" i="5"/>
  <c r="H10" i="4"/>
  <c r="H11" i="4"/>
  <c r="G11" i="4"/>
  <c r="I46" i="4"/>
  <c r="E42" i="4"/>
  <c r="I42" i="4" s="1"/>
  <c r="H6" i="4"/>
  <c r="E37" i="4"/>
  <c r="C37" i="4"/>
  <c r="I37" i="4"/>
  <c r="G33" i="4"/>
  <c r="I33" i="4" s="1"/>
  <c r="H14" i="4"/>
  <c r="H15" i="4"/>
  <c r="C27" i="4"/>
  <c r="I27" i="4" s="1"/>
  <c r="G15" i="4" s="1"/>
  <c r="E23" i="4"/>
  <c r="I23" i="4" s="1"/>
  <c r="C18" i="4"/>
  <c r="C16" i="4"/>
  <c r="D13" i="4"/>
  <c r="D12" i="4"/>
  <c r="C12" i="4"/>
  <c r="C10" i="4"/>
  <c r="C13" i="4" s="1"/>
  <c r="C8" i="4"/>
  <c r="C6" i="4"/>
  <c r="C5" i="4"/>
  <c r="C4" i="4"/>
  <c r="C18" i="3"/>
  <c r="C16" i="3"/>
  <c r="C14" i="3"/>
  <c r="D12" i="3"/>
  <c r="D13" i="3"/>
  <c r="C13" i="3"/>
  <c r="C12" i="3"/>
  <c r="C10" i="3"/>
  <c r="C8" i="3"/>
  <c r="C6" i="3"/>
  <c r="C5" i="3"/>
  <c r="C4" i="3"/>
  <c r="C16" i="2"/>
  <c r="C18" i="2" s="1"/>
  <c r="D13" i="2"/>
  <c r="D12" i="2"/>
  <c r="C8" i="2"/>
  <c r="C10" i="2" s="1"/>
  <c r="C13" i="2" s="1"/>
  <c r="C5" i="2"/>
  <c r="C6" i="2" s="1"/>
  <c r="C12" i="2" s="1"/>
  <c r="C14" i="2" s="1"/>
  <c r="C4" i="2"/>
  <c r="C11" i="8" l="1"/>
  <c r="C14" i="8" s="1"/>
  <c r="C15" i="8" s="1"/>
  <c r="C28" i="8"/>
  <c r="C24" i="8"/>
  <c r="C19" i="8"/>
  <c r="C12" i="7"/>
  <c r="C14" i="7" s="1"/>
  <c r="C14" i="5"/>
  <c r="C7" i="5"/>
  <c r="C13" i="5" s="1"/>
  <c r="I38" i="5"/>
  <c r="G15" i="5"/>
  <c r="I29" i="5"/>
  <c r="G7" i="5"/>
  <c r="G6" i="4"/>
  <c r="G8" i="4" s="1"/>
  <c r="I38" i="4"/>
  <c r="I28" i="4"/>
  <c r="G14" i="4"/>
  <c r="G16" i="4" s="1"/>
  <c r="G10" i="4"/>
  <c r="G12" i="4" s="1"/>
  <c r="I47" i="4"/>
  <c r="C14" i="4"/>
</calcChain>
</file>

<file path=xl/sharedStrings.xml><?xml version="1.0" encoding="utf-8"?>
<sst xmlns="http://schemas.openxmlformats.org/spreadsheetml/2006/main" count="2306" uniqueCount="561">
  <si>
    <t>Original Std set by BOD</t>
  </si>
  <si>
    <t>Revised Std set by  BOD</t>
  </si>
  <si>
    <t>Planning Variance</t>
  </si>
  <si>
    <t>Operational Variance</t>
  </si>
  <si>
    <t>Actuals</t>
  </si>
  <si>
    <t>Revenue Variance</t>
  </si>
  <si>
    <t>Cost Variance</t>
  </si>
  <si>
    <t xml:space="preserve">Material </t>
  </si>
  <si>
    <t>Labour</t>
  </si>
  <si>
    <t>VOH</t>
  </si>
  <si>
    <t>FOH</t>
  </si>
  <si>
    <t>Price</t>
  </si>
  <si>
    <t>Usage</t>
  </si>
  <si>
    <t>Rate</t>
  </si>
  <si>
    <t>Efficiency</t>
  </si>
  <si>
    <t>Expenditure</t>
  </si>
  <si>
    <t>Volume</t>
  </si>
  <si>
    <t>Sales</t>
  </si>
  <si>
    <t>Qty</t>
  </si>
  <si>
    <t>Basic Variances</t>
  </si>
  <si>
    <t>Mix</t>
  </si>
  <si>
    <t>Yield</t>
  </si>
  <si>
    <t>Capcity</t>
  </si>
  <si>
    <t>Advance Variances</t>
  </si>
  <si>
    <t>Original Standard</t>
  </si>
  <si>
    <t>Material</t>
  </si>
  <si>
    <t>10Kg of Maize * Rs.100</t>
  </si>
  <si>
    <t>Maize G1</t>
  </si>
  <si>
    <t>Maize G2</t>
  </si>
  <si>
    <t>PRESENT</t>
  </si>
  <si>
    <t>8Kg of Maize * Rs.115</t>
  </si>
  <si>
    <t>Revised Statdard</t>
  </si>
  <si>
    <t>Exercise 01 - Planning Variance</t>
  </si>
  <si>
    <t>Original Standard Cost of Actual Production</t>
  </si>
  <si>
    <t>Budgeted Production</t>
  </si>
  <si>
    <t>Actual Production</t>
  </si>
  <si>
    <t>8,000*25</t>
  </si>
  <si>
    <t>Revised Standard Cost of Actual Production</t>
  </si>
  <si>
    <t>8,000*40</t>
  </si>
  <si>
    <t>A</t>
  </si>
  <si>
    <t>Actual cost</t>
  </si>
  <si>
    <t>F</t>
  </si>
  <si>
    <t>Operating Variance</t>
  </si>
  <si>
    <t>Planning variance</t>
  </si>
  <si>
    <t>Total Variance</t>
  </si>
  <si>
    <t>Exercise 2 - Planning Variance</t>
  </si>
  <si>
    <t>Original Standard Material Cost of Actual Production</t>
  </si>
  <si>
    <t>2Kg*Rs.100*1,000units</t>
  </si>
  <si>
    <t>Revised Standard Material Cost of Actual Production</t>
  </si>
  <si>
    <t>2Kg*Rs.150*1,000units</t>
  </si>
  <si>
    <t>Exercise 3 - Planning and Operating Variances in detail</t>
  </si>
  <si>
    <t>Ori. Std. Labour Cost of Act. Pro.</t>
  </si>
  <si>
    <t>3Hrs*Rs.600*540units</t>
  </si>
  <si>
    <t>Rev. Std. Labour Cost of Act. Pro.</t>
  </si>
  <si>
    <t>3hrs*Rs.625*540units</t>
  </si>
  <si>
    <t>Calculation of total Variance in detail</t>
  </si>
  <si>
    <t>DLRV</t>
  </si>
  <si>
    <t>=</t>
  </si>
  <si>
    <t>Ori. Std Rate</t>
  </si>
  <si>
    <t>-</t>
  </si>
  <si>
    <t>Act. Rate</t>
  </si>
  <si>
    <t>*</t>
  </si>
  <si>
    <t>Act. Hrs paid</t>
  </si>
  <si>
    <t>1,050,000/,1,700</t>
  </si>
  <si>
    <t>DLEV</t>
  </si>
  <si>
    <t>Ori. Std Hrs</t>
  </si>
  <si>
    <t>Act. Hrs</t>
  </si>
  <si>
    <t>Ori. Std. Rate</t>
  </si>
  <si>
    <t>3Hrs*540</t>
  </si>
  <si>
    <t>Rate Variance</t>
  </si>
  <si>
    <t>Efficiency Variance</t>
  </si>
  <si>
    <t>Calculation of Planning Variance in detail</t>
  </si>
  <si>
    <t>Rev. Std. Rate</t>
  </si>
  <si>
    <t>Rev. Std .Hrs</t>
  </si>
  <si>
    <t>3*540</t>
  </si>
  <si>
    <t>Rev. Std. Hrs</t>
  </si>
  <si>
    <t>540*3Hrs</t>
  </si>
  <si>
    <t>Calculation of Operating Variance in detail</t>
  </si>
  <si>
    <t>Rev. Std Rate</t>
  </si>
  <si>
    <t>Act Hrs paid</t>
  </si>
  <si>
    <t>1,050,000/1,700</t>
  </si>
  <si>
    <t>Rev. Std Hrs</t>
  </si>
  <si>
    <t>Direct Labour Cost Control A/C</t>
  </si>
  <si>
    <t>Work in Progress A/C</t>
  </si>
  <si>
    <t>Debited</t>
  </si>
  <si>
    <t>Act Hrs* Act Rate</t>
  </si>
  <si>
    <t xml:space="preserve">Debited </t>
  </si>
  <si>
    <t>Act Hrs * Std Rate</t>
  </si>
  <si>
    <t>Credited</t>
  </si>
  <si>
    <t xml:space="preserve">Rate Variance </t>
  </si>
  <si>
    <t>Rate Variance * Act Hrs</t>
  </si>
  <si>
    <t>Std Hrs * Std Rate</t>
  </si>
  <si>
    <t>Debit entry goes to FG A/C</t>
  </si>
  <si>
    <t>Hour Variance * Std Rate</t>
  </si>
  <si>
    <t>Exercise 4 - Planning and operating variance in as detail as possible</t>
  </si>
  <si>
    <t>4Hrs*Rs.500*1,000Units</t>
  </si>
  <si>
    <t>6Hrs*Rs.400*1,000Units</t>
  </si>
  <si>
    <t>2,380,000/6,200</t>
  </si>
  <si>
    <t>1,000*4</t>
  </si>
  <si>
    <t xml:space="preserve">Exercise 6 - Planning and operating variance </t>
  </si>
  <si>
    <t>Sales Margin</t>
  </si>
  <si>
    <t>Budgeted / Standard Sales Margin</t>
  </si>
  <si>
    <t xml:space="preserve">Actual Sales Margin </t>
  </si>
  <si>
    <t>Bud / Std Price - Std Cost</t>
  </si>
  <si>
    <t>Act. Price - Std Cost</t>
  </si>
  <si>
    <t>Ori. Std. Sales Margin</t>
  </si>
  <si>
    <t>40,000/400</t>
  </si>
  <si>
    <t>(100 - 60)*400</t>
  </si>
  <si>
    <t>Rev. Std. Sales Margin</t>
  </si>
  <si>
    <t>(100 - 60)*300</t>
  </si>
  <si>
    <t>Actual Sales Margin</t>
  </si>
  <si>
    <t>(100-60)*320</t>
  </si>
  <si>
    <t>Profit reconciliation</t>
  </si>
  <si>
    <t>Budgeted Profit</t>
  </si>
  <si>
    <t>Actual Profit</t>
  </si>
  <si>
    <t>Operating variance</t>
  </si>
  <si>
    <t>800F</t>
  </si>
  <si>
    <t>4,000A</t>
  </si>
  <si>
    <t>Exercise 7 - Sales Variances</t>
  </si>
  <si>
    <t>Turnover method</t>
  </si>
  <si>
    <t xml:space="preserve">Ori. Std. Sales </t>
  </si>
  <si>
    <t>Rev. Std. Sales</t>
  </si>
  <si>
    <t>Actual Sales</t>
  </si>
  <si>
    <t>Ori. Std. Sales</t>
  </si>
  <si>
    <t>10,000*Rs.10</t>
  </si>
  <si>
    <t>10,000*Rs.4.50</t>
  </si>
  <si>
    <t>10,000*Rs.5</t>
  </si>
  <si>
    <t>Margin Method</t>
  </si>
  <si>
    <t>10,000*(10-3)</t>
  </si>
  <si>
    <t>10,000*(4.5-3)</t>
  </si>
  <si>
    <t>10,000*(5-3)</t>
  </si>
  <si>
    <t>Turnover method does not use for accounting ourposes and it could be used for sales</t>
  </si>
  <si>
    <t>Margin method is being used for accounting purposes</t>
  </si>
  <si>
    <t>Exercise 8 - Basic Variance</t>
  </si>
  <si>
    <t>Std. Price</t>
  </si>
  <si>
    <t>Act. Price</t>
  </si>
  <si>
    <t>Act. Purchase / Use</t>
  </si>
  <si>
    <t>DMPV - A</t>
  </si>
  <si>
    <t>1,599,000/7,800</t>
  </si>
  <si>
    <t>DMPV - B</t>
  </si>
  <si>
    <t>2,365,000/4,300</t>
  </si>
  <si>
    <t>Std. Use</t>
  </si>
  <si>
    <t>Act. Use</t>
  </si>
  <si>
    <t>800*10</t>
  </si>
  <si>
    <t>DMUV - A</t>
  </si>
  <si>
    <t>DMUV - B</t>
  </si>
  <si>
    <t>800*5</t>
  </si>
  <si>
    <t>DMCV - B</t>
  </si>
  <si>
    <t>DMCV - A</t>
  </si>
  <si>
    <t>Std. Cost</t>
  </si>
  <si>
    <t>Act. Cost</t>
  </si>
  <si>
    <t>10*200*800</t>
  </si>
  <si>
    <t>5*600*800</t>
  </si>
  <si>
    <t>Std. Rate</t>
  </si>
  <si>
    <t>2,415,000/4,200</t>
  </si>
  <si>
    <t>Std. Hrs</t>
  </si>
  <si>
    <t>5*800</t>
  </si>
  <si>
    <t>DLCV</t>
  </si>
  <si>
    <t>FOHEXV</t>
  </si>
  <si>
    <t>Bud. FOH</t>
  </si>
  <si>
    <t>Act. FOH</t>
  </si>
  <si>
    <t>OAR</t>
  </si>
  <si>
    <t>Bud. Overhead</t>
  </si>
  <si>
    <t>Bud. Activity level</t>
  </si>
  <si>
    <t>5,000/5Hrs</t>
  </si>
  <si>
    <t>Bud. OH</t>
  </si>
  <si>
    <t>900*5hrs</t>
  </si>
  <si>
    <t>FOHVV</t>
  </si>
  <si>
    <t>Bud. Units</t>
  </si>
  <si>
    <t>Act. Units</t>
  </si>
  <si>
    <t>OAR per unit</t>
  </si>
  <si>
    <t>Bud. Hrs</t>
  </si>
  <si>
    <t>OAR per hour</t>
  </si>
  <si>
    <t>900*5Hrs</t>
  </si>
  <si>
    <t>FOHVCV</t>
  </si>
  <si>
    <t>FOHVEV</t>
  </si>
  <si>
    <t>Exercise 9 - Backward Calculation</t>
  </si>
  <si>
    <t>a)</t>
  </si>
  <si>
    <t>Actual total direct wages cost</t>
  </si>
  <si>
    <t>DL Rate Variance A</t>
  </si>
  <si>
    <t>Std wages cost of actual production</t>
  </si>
  <si>
    <t>Hours</t>
  </si>
  <si>
    <t>Higher</t>
  </si>
  <si>
    <t>Lower</t>
  </si>
  <si>
    <t>DL  Efficiency F</t>
  </si>
  <si>
    <t>Std Labour Cost (6Hrs*Rs.12)</t>
  </si>
  <si>
    <t xml:space="preserve">DMPV </t>
  </si>
  <si>
    <t>18,840/0.5</t>
  </si>
  <si>
    <t xml:space="preserve">DMUV </t>
  </si>
  <si>
    <t>Std Price</t>
  </si>
  <si>
    <t>480/6</t>
  </si>
  <si>
    <t>37,600/16Kgs</t>
  </si>
  <si>
    <t>b)</t>
  </si>
  <si>
    <t>XXX</t>
  </si>
  <si>
    <t>2,350*6</t>
  </si>
  <si>
    <t>8,478/12</t>
  </si>
  <si>
    <t>14,100-706.5</t>
  </si>
  <si>
    <t>C)</t>
  </si>
  <si>
    <t>10,598/13,393.5</t>
  </si>
  <si>
    <t>12+0.791279</t>
  </si>
  <si>
    <t>d)</t>
  </si>
  <si>
    <t>Bread Manufacturing</t>
  </si>
  <si>
    <t>Flour</t>
  </si>
  <si>
    <t>Water</t>
  </si>
  <si>
    <t>Salt</t>
  </si>
  <si>
    <t>Sugar</t>
  </si>
  <si>
    <t>Baking powder</t>
  </si>
  <si>
    <t xml:space="preserve">Juice Manufacturing </t>
  </si>
  <si>
    <t>Mango</t>
  </si>
  <si>
    <t>Papaya</t>
  </si>
  <si>
    <t>Pineapple</t>
  </si>
  <si>
    <t>Condition 1</t>
  </si>
  <si>
    <t>2 or more material</t>
  </si>
  <si>
    <t>Condition 2</t>
  </si>
  <si>
    <t>Those materials should be subsitution</t>
  </si>
  <si>
    <t>Only basic variances</t>
  </si>
  <si>
    <t>Advance variance are possible to calculate</t>
  </si>
  <si>
    <t>Flash</t>
  </si>
  <si>
    <t>80*5Kg</t>
  </si>
  <si>
    <t>Bang</t>
  </si>
  <si>
    <t>80*10Kg</t>
  </si>
  <si>
    <t>Material Mix Variance</t>
  </si>
  <si>
    <t>AUAM</t>
  </si>
  <si>
    <t>AUSM</t>
  </si>
  <si>
    <t>Variance Qty</t>
  </si>
  <si>
    <t>Variance Rs.</t>
  </si>
  <si>
    <t>1,230*5/15</t>
  </si>
  <si>
    <t>1,230*10/15</t>
  </si>
  <si>
    <t>90A</t>
  </si>
  <si>
    <t>90F</t>
  </si>
  <si>
    <t>Material Yield Variance</t>
  </si>
  <si>
    <t>SUSM</t>
  </si>
  <si>
    <t>10A</t>
  </si>
  <si>
    <t>20A</t>
  </si>
  <si>
    <t>30A</t>
  </si>
  <si>
    <t>Exercise 12</t>
  </si>
  <si>
    <t xml:space="preserve">DMCV </t>
  </si>
  <si>
    <t>X</t>
  </si>
  <si>
    <t>Y</t>
  </si>
  <si>
    <t>500*3Kg*200</t>
  </si>
  <si>
    <t>500*5Kg*360</t>
  </si>
  <si>
    <t>DMPV</t>
  </si>
  <si>
    <t>410,000/2,000</t>
  </si>
  <si>
    <t>960,000/2,400</t>
  </si>
  <si>
    <t>DMUV</t>
  </si>
  <si>
    <t>500*3Kg</t>
  </si>
  <si>
    <t>500*5Kg</t>
  </si>
  <si>
    <t>4,400*3/8</t>
  </si>
  <si>
    <t>4,400*5/8</t>
  </si>
  <si>
    <t>350A</t>
  </si>
  <si>
    <t>350F</t>
  </si>
  <si>
    <t>150A</t>
  </si>
  <si>
    <t>250F</t>
  </si>
  <si>
    <t>250A</t>
  </si>
  <si>
    <t>400A</t>
  </si>
  <si>
    <t>Material Cost Variance</t>
  </si>
  <si>
    <t>170,000A</t>
  </si>
  <si>
    <t>106,000A</t>
  </si>
  <si>
    <t>64,000A</t>
  </si>
  <si>
    <t>56,000F</t>
  </si>
  <si>
    <t>120,000A</t>
  </si>
  <si>
    <t>Exercise 13 - Advance Material Variances with Losses</t>
  </si>
  <si>
    <t>P</t>
  </si>
  <si>
    <t>Q</t>
  </si>
  <si>
    <t>53,000/90*100*2/3</t>
  </si>
  <si>
    <t>53,000/90*100*1/3</t>
  </si>
  <si>
    <t>56,000*2/3</t>
  </si>
  <si>
    <t>56,000*1/3</t>
  </si>
  <si>
    <t>3,333.33F</t>
  </si>
  <si>
    <t>3,333.33A</t>
  </si>
  <si>
    <t>53,000/.9*2/3</t>
  </si>
  <si>
    <t>53,000/.9*1/3</t>
  </si>
  <si>
    <t>1,925.93F</t>
  </si>
  <si>
    <t>962.96F</t>
  </si>
  <si>
    <t>Exercise 14 - Labour Advance Variances</t>
  </si>
  <si>
    <t xml:space="preserve">DLCV </t>
  </si>
  <si>
    <t>Skilled</t>
  </si>
  <si>
    <t>Unskilled</t>
  </si>
  <si>
    <t>100*6Hrs*60</t>
  </si>
  <si>
    <t>100*4Hrs*50</t>
  </si>
  <si>
    <t>500Hrs*65</t>
  </si>
  <si>
    <t>550Hrs*45</t>
  </si>
  <si>
    <t>Act. Hrs Paid</t>
  </si>
  <si>
    <t>6Hrs*100</t>
  </si>
  <si>
    <t>4Hrs*100</t>
  </si>
  <si>
    <t>Labour Mix Variance</t>
  </si>
  <si>
    <t>Labour Category</t>
  </si>
  <si>
    <t>AHAM</t>
  </si>
  <si>
    <t>AHSM</t>
  </si>
  <si>
    <t>Variance Hrs</t>
  </si>
  <si>
    <t>Std Rate</t>
  </si>
  <si>
    <t>1,050*3/5</t>
  </si>
  <si>
    <t>1,050*2/5</t>
  </si>
  <si>
    <t>130F</t>
  </si>
  <si>
    <t>130A</t>
  </si>
  <si>
    <t>Labour Yield Variance</t>
  </si>
  <si>
    <t>SHSM</t>
  </si>
  <si>
    <t>100*6Hrs</t>
  </si>
  <si>
    <t>100*4Hrs</t>
  </si>
  <si>
    <t>50A</t>
  </si>
  <si>
    <t>Labour Cost Variance</t>
  </si>
  <si>
    <t>1,250A</t>
  </si>
  <si>
    <t>1,500A</t>
  </si>
  <si>
    <t>1,300F</t>
  </si>
  <si>
    <t>2,800A</t>
  </si>
  <si>
    <t xml:space="preserve">Sales Price Variance </t>
  </si>
  <si>
    <t>Sales Margin Price Variance</t>
  </si>
  <si>
    <t>Std Price - Act. Price</t>
  </si>
  <si>
    <t>Std sales Margin - Act. Sales Margin</t>
  </si>
  <si>
    <t>Exercise 16 - Sales Margin Advance Variance</t>
  </si>
  <si>
    <t xml:space="preserve">SMV </t>
  </si>
  <si>
    <t>Act. Mar</t>
  </si>
  <si>
    <t>Std. / Bud Mar</t>
  </si>
  <si>
    <t>1,000*(100-80)</t>
  </si>
  <si>
    <t>1,050*(98-80)</t>
  </si>
  <si>
    <t>1,500*(110-95)</t>
  </si>
  <si>
    <t>1,400*(111-95)</t>
  </si>
  <si>
    <t>SMPV</t>
  </si>
  <si>
    <t>Act. Qty</t>
  </si>
  <si>
    <t>100-80</t>
  </si>
  <si>
    <t>98-80</t>
  </si>
  <si>
    <t>110-95</t>
  </si>
  <si>
    <t>111-95</t>
  </si>
  <si>
    <t>SPV</t>
  </si>
  <si>
    <t>SMVV</t>
  </si>
  <si>
    <t>Bud. Qty</t>
  </si>
  <si>
    <t>Sales Mix Variance</t>
  </si>
  <si>
    <t>Product</t>
  </si>
  <si>
    <t>ASAM</t>
  </si>
  <si>
    <t>ASSM</t>
  </si>
  <si>
    <t>Std Margin</t>
  </si>
  <si>
    <t>2,450'*2/5</t>
  </si>
  <si>
    <t>2,450'*3/5</t>
  </si>
  <si>
    <t>70F</t>
  </si>
  <si>
    <t>70A</t>
  </si>
  <si>
    <t>Sales Qty Variance</t>
  </si>
  <si>
    <t>BSSM</t>
  </si>
  <si>
    <t>Sales Magin Variance</t>
  </si>
  <si>
    <t>1,200A</t>
  </si>
  <si>
    <t>700A</t>
  </si>
  <si>
    <t>500A</t>
  </si>
  <si>
    <t>850A</t>
  </si>
  <si>
    <t>Exercise 18</t>
  </si>
  <si>
    <t>1)</t>
  </si>
  <si>
    <t>829,350/92,150</t>
  </si>
  <si>
    <t>2)</t>
  </si>
  <si>
    <t>48,500*2Kg</t>
  </si>
  <si>
    <t>3)</t>
  </si>
  <si>
    <t xml:space="preserve">DLRV </t>
  </si>
  <si>
    <t>989,400/19,400</t>
  </si>
  <si>
    <t>4)</t>
  </si>
  <si>
    <t xml:space="preserve">DLEV </t>
  </si>
  <si>
    <t>Act. Hrs Operated</t>
  </si>
  <si>
    <r>
      <t xml:space="preserve">Act. Hrs </t>
    </r>
    <r>
      <rPr>
        <sz val="11"/>
        <color rgb="FFFF0000"/>
        <rFont val="Calibri"/>
        <family val="2"/>
        <scheme val="minor"/>
      </rPr>
      <t>Operated</t>
    </r>
  </si>
  <si>
    <t>48,500*0.5</t>
  </si>
  <si>
    <t>5)</t>
  </si>
  <si>
    <t>DLIT</t>
  </si>
  <si>
    <t>6)</t>
  </si>
  <si>
    <t>VOHEV</t>
  </si>
  <si>
    <t>532,000/19,000</t>
  </si>
  <si>
    <t>7)</t>
  </si>
  <si>
    <t>VOHEFV</t>
  </si>
  <si>
    <t>8)</t>
  </si>
  <si>
    <t>FOHEV</t>
  </si>
  <si>
    <t>40*51,000*0.5</t>
  </si>
  <si>
    <t>9)</t>
  </si>
  <si>
    <t>OAR per Unit</t>
  </si>
  <si>
    <t>51,000*0.5Hr</t>
  </si>
  <si>
    <t>48,500*0.5Hr</t>
  </si>
  <si>
    <t>10)</t>
  </si>
  <si>
    <t>11)</t>
  </si>
  <si>
    <t>12)</t>
  </si>
  <si>
    <t>Std. Mgn</t>
  </si>
  <si>
    <t>Act. Mgn</t>
  </si>
  <si>
    <t>(4,462,000/48,500)-76</t>
  </si>
  <si>
    <t>13)</t>
  </si>
  <si>
    <t>51,000*14</t>
  </si>
  <si>
    <t>Budgeted profit of actual sales</t>
  </si>
  <si>
    <t>48,500*14</t>
  </si>
  <si>
    <t>Adjusting variances</t>
  </si>
  <si>
    <t>Operating Statement - Absorption Costing</t>
  </si>
  <si>
    <t>Check the answer</t>
  </si>
  <si>
    <t>Material cost</t>
  </si>
  <si>
    <t>Labour cost</t>
  </si>
  <si>
    <t>Exercise 19</t>
  </si>
  <si>
    <t>120,450/3,650</t>
  </si>
  <si>
    <t>960*4Kg</t>
  </si>
  <si>
    <t>175,200/1,825</t>
  </si>
  <si>
    <t>2*960</t>
  </si>
  <si>
    <t>43,800/1,825</t>
  </si>
  <si>
    <t>SCPV</t>
  </si>
  <si>
    <t>Std. Con</t>
  </si>
  <si>
    <t>Act. Con</t>
  </si>
  <si>
    <t>(777,600/960)-360</t>
  </si>
  <si>
    <t>SCVV</t>
  </si>
  <si>
    <t>Operating Statement - Marginal Costing</t>
  </si>
  <si>
    <t>1,000*440</t>
  </si>
  <si>
    <t>Budgeted Contribution</t>
  </si>
  <si>
    <t>Budgeted contribution of actual sales</t>
  </si>
  <si>
    <t>960*440</t>
  </si>
  <si>
    <t>Actual contribution</t>
  </si>
  <si>
    <t>Fixed Cost</t>
  </si>
  <si>
    <t>Profit</t>
  </si>
  <si>
    <t>Budgeted Fixed cost</t>
  </si>
  <si>
    <t>Exercise 21</t>
  </si>
  <si>
    <t>Operating Statement / Variance Analysis with Inventory</t>
  </si>
  <si>
    <t>Budgeted</t>
  </si>
  <si>
    <t>Actual</t>
  </si>
  <si>
    <t>Production Qty</t>
  </si>
  <si>
    <t>Sales Qty</t>
  </si>
  <si>
    <t>Closing Inventory</t>
  </si>
  <si>
    <t>Selling price</t>
  </si>
  <si>
    <t>Sales Rs.</t>
  </si>
  <si>
    <t>(-)  Total Cost</t>
  </si>
  <si>
    <t>195*10,000</t>
  </si>
  <si>
    <t>Closing inventory</t>
  </si>
  <si>
    <t>195*2,500</t>
  </si>
  <si>
    <t>Cost of sales</t>
  </si>
  <si>
    <t>700+330.9+400+500</t>
  </si>
  <si>
    <t>195*2,000</t>
  </si>
  <si>
    <t>700,000/85,000</t>
  </si>
  <si>
    <t>8,000*10</t>
  </si>
  <si>
    <t>330,900/36,000</t>
  </si>
  <si>
    <t>8,000*5</t>
  </si>
  <si>
    <t>400,000/36,000</t>
  </si>
  <si>
    <t>10,000*45</t>
  </si>
  <si>
    <t>300-195</t>
  </si>
  <si>
    <t>260-195</t>
  </si>
  <si>
    <t>7,500*105</t>
  </si>
  <si>
    <t>FOHVVV</t>
  </si>
  <si>
    <t>Closing Inventory Valued at Standard Cost</t>
  </si>
  <si>
    <t>Closing Inventory Valued at Actual Cost</t>
  </si>
  <si>
    <t>1,930,900/8,000*2,000</t>
  </si>
  <si>
    <t>Adjust the cost variances of closing stock</t>
  </si>
  <si>
    <t>Question 1</t>
  </si>
  <si>
    <t>Fabric Price</t>
  </si>
  <si>
    <t>Revied rate</t>
  </si>
  <si>
    <t>105,336,000/159,600</t>
  </si>
  <si>
    <t>Given</t>
  </si>
  <si>
    <t>Fabric Use</t>
  </si>
  <si>
    <t>Original rate</t>
  </si>
  <si>
    <t>Original use</t>
  </si>
  <si>
    <t>Revied use</t>
  </si>
  <si>
    <t>2.64m</t>
  </si>
  <si>
    <t>2.64/110*100</t>
  </si>
  <si>
    <t>2.40m</t>
  </si>
  <si>
    <t>159,600/60,000</t>
  </si>
  <si>
    <t>2.66m</t>
  </si>
  <si>
    <t>a) 1)</t>
  </si>
  <si>
    <t xml:space="preserve">DM Planing PV </t>
  </si>
  <si>
    <t>Ori. Std . Price</t>
  </si>
  <si>
    <t>Rev. Std. Price</t>
  </si>
  <si>
    <t>Rev. Purchase / Use</t>
  </si>
  <si>
    <t>2.64*60,000</t>
  </si>
  <si>
    <t xml:space="preserve">DM Planing UV </t>
  </si>
  <si>
    <t>Ori. Std . Use</t>
  </si>
  <si>
    <t>Rev. Std. Use</t>
  </si>
  <si>
    <t>2.4*60,000</t>
  </si>
  <si>
    <t>a) 2)</t>
  </si>
  <si>
    <t xml:space="preserve">DM Operating PV </t>
  </si>
  <si>
    <t>Rev. Std . Price</t>
  </si>
  <si>
    <t xml:space="preserve">DM Operating UV </t>
  </si>
  <si>
    <t>Rev. Std . Use</t>
  </si>
  <si>
    <t>SLRV</t>
  </si>
  <si>
    <t>315/105*100</t>
  </si>
  <si>
    <t>USLRV</t>
  </si>
  <si>
    <t>2,470,000/13,000</t>
  </si>
  <si>
    <t>190/95*100</t>
  </si>
  <si>
    <t>60,000*12/60</t>
  </si>
  <si>
    <t>SLEV</t>
  </si>
  <si>
    <t>USLEV</t>
  </si>
  <si>
    <t>60,000*8/60</t>
  </si>
  <si>
    <t>23,000/20*12</t>
  </si>
  <si>
    <t>23,000/20*8</t>
  </si>
  <si>
    <t>3,800A</t>
  </si>
  <si>
    <t>3,800F</t>
  </si>
  <si>
    <t>1,800A</t>
  </si>
  <si>
    <t>3,000A</t>
  </si>
  <si>
    <t>2021 - Jul 3</t>
  </si>
  <si>
    <t>Std. / Bud Contri.</t>
  </si>
  <si>
    <t>Pnematic</t>
  </si>
  <si>
    <t>Solid</t>
  </si>
  <si>
    <t>15,000*30%</t>
  </si>
  <si>
    <t>30,000*41 2/3%</t>
  </si>
  <si>
    <t>11,700*1/3</t>
  </si>
  <si>
    <t>11,700*2/3</t>
  </si>
  <si>
    <t>1,400A</t>
  </si>
  <si>
    <t>1,400F</t>
  </si>
  <si>
    <t>900F</t>
  </si>
  <si>
    <t>1,800F</t>
  </si>
  <si>
    <t>Std Contribution</t>
  </si>
  <si>
    <t>Question - 2</t>
  </si>
  <si>
    <t>Labour rate</t>
  </si>
  <si>
    <t>Original</t>
  </si>
  <si>
    <t>600/3</t>
  </si>
  <si>
    <t>Rs.</t>
  </si>
  <si>
    <t>Revised</t>
  </si>
  <si>
    <t>200*90%</t>
  </si>
  <si>
    <t>4,752,000/26,400</t>
  </si>
  <si>
    <t>Hrs</t>
  </si>
  <si>
    <t>Labour hours</t>
  </si>
  <si>
    <t>3*115%</t>
  </si>
  <si>
    <t>26,400/8,000</t>
  </si>
  <si>
    <t>DLR Planing V</t>
  </si>
  <si>
    <t>Rev. Std. Hrs paid</t>
  </si>
  <si>
    <t>3.45*8,000</t>
  </si>
  <si>
    <t>DLR Operating V</t>
  </si>
  <si>
    <t>DLE Planing V</t>
  </si>
  <si>
    <t>Ori. Std. Hrs</t>
  </si>
  <si>
    <t>3*8,000</t>
  </si>
  <si>
    <t>DLE Operating V</t>
  </si>
  <si>
    <t>Vegetable fat</t>
  </si>
  <si>
    <t>Aroma</t>
  </si>
  <si>
    <t>Chemical</t>
  </si>
  <si>
    <t>81,000*9/10</t>
  </si>
  <si>
    <t>81,000*.3/10</t>
  </si>
  <si>
    <t>81,000*.7/10</t>
  </si>
  <si>
    <t>770A</t>
  </si>
  <si>
    <t>630A</t>
  </si>
  <si>
    <t>8,000*9Kg</t>
  </si>
  <si>
    <t>8,000*.3Kg</t>
  </si>
  <si>
    <t>8,000*.7Kg</t>
  </si>
  <si>
    <t>900A</t>
  </si>
  <si>
    <t>1,000A</t>
  </si>
  <si>
    <t>Question 4</t>
  </si>
  <si>
    <t>B</t>
  </si>
  <si>
    <t>C</t>
  </si>
  <si>
    <t>Bud. SP</t>
  </si>
  <si>
    <t>Bud. VC</t>
  </si>
  <si>
    <t>100+40+4</t>
  </si>
  <si>
    <t>16+6+.6</t>
  </si>
  <si>
    <t>120+60+6</t>
  </si>
  <si>
    <t>Bud. Contribution</t>
  </si>
  <si>
    <t>4,600*4/20</t>
  </si>
  <si>
    <t>4,600*13/20</t>
  </si>
  <si>
    <t>4,600*3/20</t>
  </si>
  <si>
    <t>200A</t>
  </si>
  <si>
    <t>110F</t>
  </si>
  <si>
    <t>120F</t>
  </si>
  <si>
    <t>390F</t>
  </si>
  <si>
    <t>600F</t>
  </si>
  <si>
    <t>60/1.875*780</t>
  </si>
  <si>
    <t>60/2*780</t>
  </si>
  <si>
    <t>Original Std</t>
  </si>
  <si>
    <t>8Hrs * Rs.300 = Rs.2,400/-</t>
  </si>
  <si>
    <t>Revised Std</t>
  </si>
  <si>
    <t>Calculate the revised stadard average hours per unit using learning curve</t>
  </si>
  <si>
    <t>y= ax^b</t>
  </si>
  <si>
    <t>b = log 0.9 / log 2 = -0.152</t>
  </si>
  <si>
    <t>y= 8Hrs*560^-0.152</t>
  </si>
  <si>
    <t>y = 3.057 Hrs</t>
  </si>
  <si>
    <t>3.057Hrs* Rs.300 = Rs.917.24</t>
  </si>
  <si>
    <t>DLR Planning V</t>
  </si>
  <si>
    <t>DLE Planning V</t>
  </si>
  <si>
    <t>Rev. Hrs paid</t>
  </si>
  <si>
    <t>560*3.057</t>
  </si>
  <si>
    <t>Or. Std Rate</t>
  </si>
  <si>
    <t>8*560</t>
  </si>
  <si>
    <t>Act.Hrs paid</t>
  </si>
  <si>
    <t>1,155,000/3,500</t>
  </si>
  <si>
    <t>Act..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</si>
</sst>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0" fillId="2" borderId="0" xfId="0" applyFill="1"/>
    <xf numFmtId="0" fontId="2" fillId="2" borderId="0" xfId="0" applyFont="1" applyFill="1"/>
    <xf numFmtId="43" fontId="0" fillId="0" borderId="0" xfId="1" applyFont="1"/>
    <xf numFmtId="0" fontId="5" fillId="0" borderId="0" xfId="0" applyFont="1"/>
    <xf numFmtId="0" fontId="6" fillId="0" borderId="0" xfId="0" applyFont="1"/>
    <xf numFmtId="43" fontId="0" fillId="0" borderId="0" xfId="0" applyNumberFormat="1"/>
    <xf numFmtId="0" fontId="7" fillId="0" borderId="0" xfId="0" applyFont="1"/>
    <xf numFmtId="43" fontId="7" fillId="0" borderId="0" xfId="0" applyNumberFormat="1" applyFont="1"/>
    <xf numFmtId="43" fontId="7" fillId="0" borderId="0" xfId="1" applyFont="1"/>
    <xf numFmtId="43" fontId="1" fillId="0" borderId="0" xfId="1" applyFont="1"/>
    <xf numFmtId="0" fontId="7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0" fontId="5" fillId="3" borderId="0" xfId="0" applyFont="1" applyFill="1"/>
    <xf numFmtId="0" fontId="0" fillId="0" borderId="0" xfId="0" quotePrefix="1"/>
    <xf numFmtId="0" fontId="0" fillId="0" borderId="0" xfId="0" quotePrefix="1" applyAlignment="1">
      <alignment horizontal="center"/>
    </xf>
    <xf numFmtId="43" fontId="7" fillId="0" borderId="1" xfId="0" applyNumberFormat="1" applyFont="1" applyBorder="1"/>
    <xf numFmtId="43" fontId="5" fillId="0" borderId="1" xfId="0" applyNumberFormat="1" applyFont="1" applyBorder="1"/>
    <xf numFmtId="43" fontId="5" fillId="0" borderId="0" xfId="1" applyFont="1"/>
    <xf numFmtId="0" fontId="8" fillId="0" borderId="0" xfId="0" applyFont="1"/>
    <xf numFmtId="43" fontId="0" fillId="0" borderId="1" xfId="1" applyFont="1" applyBorder="1"/>
    <xf numFmtId="43" fontId="0" fillId="0" borderId="0" xfId="1" applyFont="1" applyAlignment="1">
      <alignment horizontal="right"/>
    </xf>
    <xf numFmtId="43" fontId="0" fillId="0" borderId="2" xfId="1" applyFont="1" applyBorder="1" applyAlignment="1">
      <alignment horizontal="right"/>
    </xf>
    <xf numFmtId="0" fontId="5" fillId="2" borderId="0" xfId="0" applyFont="1" applyFill="1"/>
    <xf numFmtId="0" fontId="0" fillId="0" borderId="0" xfId="0" applyFill="1" applyBorder="1"/>
    <xf numFmtId="43" fontId="0" fillId="0" borderId="0" xfId="1" applyFont="1" applyFill="1" applyBorder="1"/>
    <xf numFmtId="0" fontId="0" fillId="0" borderId="3" xfId="0" applyBorder="1"/>
    <xf numFmtId="0" fontId="0" fillId="0" borderId="3" xfId="0" quotePrefix="1" applyBorder="1"/>
    <xf numFmtId="0" fontId="0" fillId="0" borderId="3" xfId="0" applyBorder="1" applyAlignment="1">
      <alignment horizontal="right"/>
    </xf>
    <xf numFmtId="0" fontId="0" fillId="0" borderId="3" xfId="0" quotePrefix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4" xfId="0" quotePrefix="1" applyBorder="1"/>
    <xf numFmtId="43" fontId="0" fillId="0" borderId="4" xfId="1" applyFont="1" applyBorder="1" applyAlignment="1">
      <alignment horizontal="right"/>
    </xf>
    <xf numFmtId="0" fontId="0" fillId="0" borderId="4" xfId="0" quotePrefix="1" applyBorder="1" applyAlignment="1">
      <alignment horizontal="center"/>
    </xf>
    <xf numFmtId="43" fontId="0" fillId="0" borderId="4" xfId="1" applyFont="1" applyBorder="1" applyAlignment="1">
      <alignment horizontal="left"/>
    </xf>
    <xf numFmtId="43" fontId="0" fillId="0" borderId="4" xfId="1" applyFont="1" applyBorder="1"/>
    <xf numFmtId="43" fontId="0" fillId="5" borderId="4" xfId="0" applyNumberFormat="1" applyFill="1" applyBorder="1"/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left"/>
    </xf>
    <xf numFmtId="43" fontId="0" fillId="6" borderId="4" xfId="0" applyNumberFormat="1" applyFill="1" applyBorder="1"/>
    <xf numFmtId="43" fontId="0" fillId="0" borderId="4" xfId="0" applyNumberFormat="1" applyBorder="1"/>
    <xf numFmtId="43" fontId="0" fillId="0" borderId="4" xfId="0" applyNumberFormat="1" applyFill="1" applyBorder="1"/>
    <xf numFmtId="0" fontId="0" fillId="0" borderId="5" xfId="0" applyBorder="1"/>
    <xf numFmtId="0" fontId="0" fillId="0" borderId="0" xfId="0" applyBorder="1"/>
    <xf numFmtId="0" fontId="0" fillId="0" borderId="0" xfId="0" quotePrefix="1" applyBorder="1"/>
    <xf numFmtId="0" fontId="0" fillId="0" borderId="0" xfId="0" applyBorder="1" applyAlignment="1">
      <alignment horizontal="right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left"/>
    </xf>
    <xf numFmtId="43" fontId="0" fillId="0" borderId="0" xfId="1" applyFont="1" applyBorder="1" applyAlignment="1">
      <alignment horizontal="right"/>
    </xf>
    <xf numFmtId="43" fontId="0" fillId="0" borderId="0" xfId="1" applyFont="1" applyBorder="1" applyAlignment="1">
      <alignment horizontal="left"/>
    </xf>
    <xf numFmtId="43" fontId="0" fillId="0" borderId="0" xfId="1" applyFont="1" applyBorder="1"/>
    <xf numFmtId="43" fontId="0" fillId="0" borderId="0" xfId="0" applyNumberFormat="1" applyFill="1" applyBorder="1"/>
    <xf numFmtId="43" fontId="0" fillId="2" borderId="0" xfId="1" applyFont="1" applyFill="1" applyBorder="1"/>
    <xf numFmtId="43" fontId="0" fillId="2" borderId="0" xfId="1" applyFont="1" applyFill="1" applyBorder="1" applyAlignment="1">
      <alignment horizontal="right"/>
    </xf>
    <xf numFmtId="43" fontId="0" fillId="0" borderId="0" xfId="0" applyNumberFormat="1" applyBorder="1"/>
    <xf numFmtId="43" fontId="0" fillId="2" borderId="0" xfId="1" applyFont="1" applyFill="1" applyBorder="1" applyAlignment="1">
      <alignment horizontal="left"/>
    </xf>
    <xf numFmtId="43" fontId="0" fillId="3" borderId="0" xfId="1" applyFont="1" applyFill="1" applyBorder="1" applyAlignment="1">
      <alignment horizontal="left"/>
    </xf>
    <xf numFmtId="43" fontId="0" fillId="0" borderId="0" xfId="1" applyFont="1" applyFill="1" applyBorder="1" applyAlignment="1">
      <alignment horizontal="left"/>
    </xf>
    <xf numFmtId="43" fontId="1" fillId="2" borderId="0" xfId="1" applyFont="1" applyFill="1" applyBorder="1" applyAlignment="1">
      <alignment horizontal="left"/>
    </xf>
    <xf numFmtId="0" fontId="0" fillId="7" borderId="0" xfId="0" applyFill="1"/>
    <xf numFmtId="0" fontId="0" fillId="0" borderId="0" xfId="0" quotePrefix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/>
    <xf numFmtId="43" fontId="0" fillId="0" borderId="1" xfId="0" applyNumberForma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43" fontId="1" fillId="0" borderId="1" xfId="0" applyNumberFormat="1" applyFont="1" applyBorder="1"/>
    <xf numFmtId="0" fontId="9" fillId="0" borderId="0" xfId="0" applyFont="1" applyAlignment="1">
      <alignment horizontal="right" wrapText="1"/>
    </xf>
    <xf numFmtId="16" fontId="1" fillId="0" borderId="0" xfId="0" quotePrefix="1" applyNumberFormat="1" applyFont="1" applyAlignment="1">
      <alignment horizontal="right"/>
    </xf>
    <xf numFmtId="0" fontId="1" fillId="0" borderId="0" xfId="0" quotePrefix="1" applyFont="1" applyAlignment="1">
      <alignment horizontal="right"/>
    </xf>
    <xf numFmtId="43" fontId="1" fillId="0" borderId="0" xfId="1" applyFont="1" applyAlignment="1">
      <alignment horizontal="right"/>
    </xf>
    <xf numFmtId="43" fontId="0" fillId="0" borderId="1" xfId="1" applyFont="1" applyBorder="1" applyAlignment="1">
      <alignment horizontal="right"/>
    </xf>
    <xf numFmtId="0" fontId="0" fillId="8" borderId="0" xfId="0" applyFill="1" applyAlignment="1">
      <alignment horizontal="right"/>
    </xf>
    <xf numFmtId="43" fontId="0" fillId="8" borderId="0" xfId="1" applyFont="1" applyFill="1" applyAlignment="1">
      <alignment horizontal="right"/>
    </xf>
    <xf numFmtId="43" fontId="0" fillId="8" borderId="0" xfId="1" applyFont="1" applyFill="1" applyBorder="1" applyAlignment="1">
      <alignment horizontal="right"/>
    </xf>
    <xf numFmtId="0" fontId="0" fillId="8" borderId="0" xfId="0" quotePrefix="1" applyFill="1" applyBorder="1" applyAlignment="1">
      <alignment horizontal="center"/>
    </xf>
    <xf numFmtId="43" fontId="0" fillId="8" borderId="0" xfId="1" applyFont="1" applyFill="1" applyBorder="1" applyAlignment="1">
      <alignment horizontal="left"/>
    </xf>
    <xf numFmtId="43" fontId="0" fillId="5" borderId="0" xfId="1" applyFont="1" applyFill="1" applyBorder="1" applyAlignment="1">
      <alignment horizontal="right"/>
    </xf>
    <xf numFmtId="0" fontId="0" fillId="5" borderId="0" xfId="0" quotePrefix="1" applyFill="1" applyBorder="1" applyAlignment="1">
      <alignment horizontal="center"/>
    </xf>
    <xf numFmtId="43" fontId="0" fillId="5" borderId="0" xfId="1" applyFont="1" applyFill="1" applyBorder="1" applyAlignment="1">
      <alignment horizontal="left"/>
    </xf>
    <xf numFmtId="43" fontId="0" fillId="5" borderId="0" xfId="0" applyNumberFormat="1" applyFill="1" applyAlignment="1">
      <alignment horizontal="right"/>
    </xf>
    <xf numFmtId="43" fontId="0" fillId="5" borderId="0" xfId="1" applyFont="1" applyFill="1" applyAlignment="1">
      <alignment horizontal="right"/>
    </xf>
    <xf numFmtId="43" fontId="1" fillId="0" borderId="0" xfId="0" applyNumberFormat="1" applyFont="1" applyBorder="1"/>
    <xf numFmtId="43" fontId="0" fillId="0" borderId="0" xfId="1" applyFont="1" applyFill="1"/>
    <xf numFmtId="0" fontId="0" fillId="0" borderId="0" xfId="0" applyFill="1" applyAlignment="1">
      <alignment horizontal="right"/>
    </xf>
    <xf numFmtId="16" fontId="1" fillId="0" borderId="0" xfId="0" quotePrefix="1" applyNumberFormat="1" applyFont="1" applyFill="1" applyAlignment="1">
      <alignment horizontal="right"/>
    </xf>
    <xf numFmtId="43" fontId="0" fillId="0" borderId="0" xfId="1" applyFont="1" applyFill="1" applyAlignment="1">
      <alignment horizontal="right"/>
    </xf>
    <xf numFmtId="43" fontId="0" fillId="0" borderId="0" xfId="0" applyNumberFormat="1" applyFill="1" applyAlignment="1">
      <alignment horizontal="right"/>
    </xf>
    <xf numFmtId="0" fontId="1" fillId="0" borderId="0" xfId="0" quotePrefix="1" applyFont="1" applyFill="1" applyAlignment="1">
      <alignment horizontal="right"/>
    </xf>
    <xf numFmtId="0" fontId="9" fillId="9" borderId="0" xfId="0" applyFont="1" applyFill="1"/>
    <xf numFmtId="0" fontId="9" fillId="9" borderId="0" xfId="0" applyFont="1" applyFill="1" applyAlignment="1">
      <alignment horizontal="center"/>
    </xf>
    <xf numFmtId="0" fontId="9" fillId="9" borderId="0" xfId="0" applyFont="1" applyFill="1" applyAlignment="1">
      <alignment horizontal="right" wrapText="1"/>
    </xf>
    <xf numFmtId="0" fontId="9" fillId="9" borderId="0" xfId="0" applyFont="1" applyFill="1" applyBorder="1"/>
    <xf numFmtId="43" fontId="1" fillId="0" borderId="0" xfId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0" fillId="0" borderId="0" xfId="0" applyFont="1"/>
    <xf numFmtId="0" fontId="11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0" fillId="9" borderId="4" xfId="0" applyFill="1" applyBorder="1"/>
    <xf numFmtId="0" fontId="0" fillId="9" borderId="4" xfId="0" quotePrefix="1" applyFill="1" applyBorder="1"/>
    <xf numFmtId="0" fontId="0" fillId="9" borderId="4" xfId="0" applyFill="1" applyBorder="1" applyAlignment="1">
      <alignment horizontal="right"/>
    </xf>
    <xf numFmtId="0" fontId="0" fillId="9" borderId="4" xfId="0" applyFill="1" applyBorder="1" applyAlignment="1">
      <alignment horizontal="left"/>
    </xf>
    <xf numFmtId="0" fontId="0" fillId="9" borderId="0" xfId="0" applyFill="1"/>
    <xf numFmtId="0" fontId="0" fillId="9" borderId="0" xfId="0" quotePrefix="1" applyFill="1"/>
    <xf numFmtId="0" fontId="0" fillId="9" borderId="2" xfId="0" applyFill="1" applyBorder="1"/>
    <xf numFmtId="43" fontId="0" fillId="9" borderId="4" xfId="1" applyFont="1" applyFill="1" applyBorder="1" applyAlignment="1">
      <alignment horizontal="right"/>
    </xf>
    <xf numFmtId="43" fontId="0" fillId="9" borderId="4" xfId="1" applyFont="1" applyFill="1" applyBorder="1" applyAlignment="1">
      <alignment horizontal="left"/>
    </xf>
    <xf numFmtId="43" fontId="0" fillId="9" borderId="4" xfId="0" applyNumberFormat="1" applyFill="1" applyBorder="1"/>
    <xf numFmtId="43" fontId="0" fillId="9" borderId="0" xfId="1" applyFont="1" applyFill="1"/>
    <xf numFmtId="0" fontId="0" fillId="9" borderId="4" xfId="0" quotePrefix="1" applyFill="1" applyBorder="1" applyAlignment="1">
      <alignment horizontal="center"/>
    </xf>
    <xf numFmtId="0" fontId="0" fillId="9" borderId="0" xfId="0" applyFill="1" applyBorder="1"/>
    <xf numFmtId="43" fontId="0" fillId="9" borderId="4" xfId="1" applyFont="1" applyFill="1" applyBorder="1"/>
    <xf numFmtId="43" fontId="0" fillId="9" borderId="2" xfId="1" applyFont="1" applyFill="1" applyBorder="1"/>
    <xf numFmtId="43" fontId="0" fillId="9" borderId="0" xfId="1" applyFont="1" applyFill="1" applyBorder="1"/>
    <xf numFmtId="0" fontId="1" fillId="0" borderId="0" xfId="0" quotePrefix="1" applyFont="1"/>
    <xf numFmtId="43" fontId="0" fillId="0" borderId="2" xfId="0" applyNumberFormat="1" applyBorder="1"/>
    <xf numFmtId="43" fontId="0" fillId="3" borderId="0" xfId="1" applyFont="1" applyFill="1"/>
    <xf numFmtId="43" fontId="0" fillId="3" borderId="0" xfId="0" applyNumberFormat="1" applyFill="1" applyBorder="1"/>
    <xf numFmtId="164" fontId="0" fillId="0" borderId="0" xfId="1" applyNumberFormat="1" applyFont="1"/>
    <xf numFmtId="164" fontId="0" fillId="0" borderId="0" xfId="0" applyNumberFormat="1"/>
    <xf numFmtId="164" fontId="7" fillId="0" borderId="1" xfId="0" applyNumberFormat="1" applyFont="1" applyBorder="1"/>
    <xf numFmtId="0" fontId="0" fillId="0" borderId="0" xfId="0" applyAlignment="1">
      <alignment horizontal="right"/>
    </xf>
    <xf numFmtId="43" fontId="0" fillId="3" borderId="0" xfId="1" applyFont="1" applyFill="1" applyBorder="1"/>
    <xf numFmtId="43" fontId="7" fillId="0" borderId="0" xfId="0" applyNumberFormat="1" applyFont="1" applyBorder="1"/>
    <xf numFmtId="164" fontId="0" fillId="0" borderId="2" xfId="0" applyNumberFormat="1" applyBorder="1"/>
    <xf numFmtId="164" fontId="0" fillId="0" borderId="2" xfId="1" applyNumberFormat="1" applyFont="1" applyBorder="1"/>
    <xf numFmtId="0" fontId="5" fillId="0" borderId="0" xfId="0" applyFont="1" applyAlignment="1">
      <alignment horizontal="right"/>
    </xf>
    <xf numFmtId="43" fontId="0" fillId="0" borderId="0" xfId="0" applyNumberFormat="1" applyFill="1"/>
    <xf numFmtId="0" fontId="0" fillId="3" borderId="0" xfId="0" applyFill="1"/>
    <xf numFmtId="164" fontId="0" fillId="3" borderId="2" xfId="1" applyNumberFormat="1" applyFont="1" applyFill="1" applyBorder="1" applyAlignment="1">
      <alignment wrapText="1"/>
    </xf>
    <xf numFmtId="43" fontId="1" fillId="0" borderId="2" xfId="0" applyNumberFormat="1" applyFont="1" applyBorder="1"/>
    <xf numFmtId="43" fontId="1" fillId="11" borderId="0" xfId="0" applyNumberFormat="1" applyFont="1" applyFill="1"/>
    <xf numFmtId="43" fontId="1" fillId="11" borderId="0" xfId="1" applyFont="1" applyFill="1"/>
    <xf numFmtId="0" fontId="9" fillId="9" borderId="0" xfId="0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165" fontId="0" fillId="0" borderId="0" xfId="1" applyNumberFormat="1" applyFont="1" applyBorder="1" applyAlignment="1">
      <alignment horizontal="left"/>
    </xf>
    <xf numFmtId="0" fontId="5" fillId="4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5" fillId="1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542925</xdr:colOff>
      <xdr:row>3</xdr:row>
      <xdr:rowOff>9525</xdr:rowOff>
    </xdr:from>
    <xdr:to>
      <xdr:col>8</xdr:col>
      <xdr:colOff>838200</xdr:colOff>
      <xdr:row>5</xdr:row>
      <xdr:rowOff>57150</xdr:rowOff>
    </xdr:to>
    <xdr:sp macro="" textlink="">
      <xdr:nvSpPr>
        <xdr:cNvPr id="2" name="Down Arrow 1"/>
        <xdr:cNvSpPr/>
      </xdr:nvSpPr>
      <xdr:spPr>
        <a:xfrm>
          <a:off x="5419725" y="581025"/>
          <a:ext cx="295275" cy="4286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552450</xdr:colOff>
      <xdr:row>5</xdr:row>
      <xdr:rowOff>180975</xdr:rowOff>
    </xdr:from>
    <xdr:to>
      <xdr:col>8</xdr:col>
      <xdr:colOff>847725</xdr:colOff>
      <xdr:row>9</xdr:row>
      <xdr:rowOff>0</xdr:rowOff>
    </xdr:to>
    <xdr:sp macro="" textlink="">
      <xdr:nvSpPr>
        <xdr:cNvPr id="3" name="Down Arrow 2"/>
        <xdr:cNvSpPr/>
      </xdr:nvSpPr>
      <xdr:spPr>
        <a:xfrm>
          <a:off x="5429250" y="1133475"/>
          <a:ext cx="295275" cy="5810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1009650</xdr:colOff>
      <xdr:row>3</xdr:row>
      <xdr:rowOff>114300</xdr:rowOff>
    </xdr:from>
    <xdr:to>
      <xdr:col>9</xdr:col>
      <xdr:colOff>342900</xdr:colOff>
      <xdr:row>4</xdr:row>
      <xdr:rowOff>57150</xdr:rowOff>
    </xdr:to>
    <xdr:sp macro="" textlink="">
      <xdr:nvSpPr>
        <xdr:cNvPr id="4" name="Right Arrow 3"/>
        <xdr:cNvSpPr/>
      </xdr:nvSpPr>
      <xdr:spPr>
        <a:xfrm>
          <a:off x="5886450" y="685800"/>
          <a:ext cx="781050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266699</xdr:colOff>
      <xdr:row>7</xdr:row>
      <xdr:rowOff>28576</xdr:rowOff>
    </xdr:from>
    <xdr:to>
      <xdr:col>8</xdr:col>
      <xdr:colOff>438149</xdr:colOff>
      <xdr:row>7</xdr:row>
      <xdr:rowOff>161926</xdr:rowOff>
    </xdr:to>
    <xdr:sp macro="" textlink="">
      <xdr:nvSpPr>
        <xdr:cNvPr id="5" name="Right Arrow 4"/>
        <xdr:cNvSpPr/>
      </xdr:nvSpPr>
      <xdr:spPr>
        <a:xfrm rot="10800000">
          <a:off x="4533899" y="1362076"/>
          <a:ext cx="781050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495300</xdr:colOff>
      <xdr:row>8</xdr:row>
      <xdr:rowOff>19050</xdr:rowOff>
    </xdr:from>
    <xdr:to>
      <xdr:col>6</xdr:col>
      <xdr:colOff>180975</xdr:colOff>
      <xdr:row>13</xdr:row>
      <xdr:rowOff>66675</xdr:rowOff>
    </xdr:to>
    <xdr:sp macro="" textlink="">
      <xdr:nvSpPr>
        <xdr:cNvPr id="6" name="Down Arrow 5"/>
        <xdr:cNvSpPr/>
      </xdr:nvSpPr>
      <xdr:spPr>
        <a:xfrm>
          <a:off x="3543300" y="1543050"/>
          <a:ext cx="295275" cy="1000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600075</xdr:colOff>
      <xdr:row>13</xdr:row>
      <xdr:rowOff>66675</xdr:rowOff>
    </xdr:from>
    <xdr:to>
      <xdr:col>8</xdr:col>
      <xdr:colOff>723900</xdr:colOff>
      <xdr:row>13</xdr:row>
      <xdr:rowOff>95250</xdr:rowOff>
    </xdr:to>
    <xdr:cxnSp macro="">
      <xdr:nvCxnSpPr>
        <xdr:cNvPr id="8" name="Straight Connector 7"/>
        <xdr:cNvCxnSpPr/>
      </xdr:nvCxnSpPr>
      <xdr:spPr>
        <a:xfrm flipV="1">
          <a:off x="1819275" y="2543175"/>
          <a:ext cx="3781425" cy="28575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95250</xdr:rowOff>
    </xdr:from>
    <xdr:to>
      <xdr:col>3</xdr:col>
      <xdr:colOff>9525</xdr:colOff>
      <xdr:row>14</xdr:row>
      <xdr:rowOff>28575</xdr:rowOff>
    </xdr:to>
    <xdr:cxnSp macro="">
      <xdr:nvCxnSpPr>
        <xdr:cNvPr id="12" name="Straight Connector 11"/>
        <xdr:cNvCxnSpPr/>
      </xdr:nvCxnSpPr>
      <xdr:spPr>
        <a:xfrm>
          <a:off x="1828800" y="2571750"/>
          <a:ext cx="9525" cy="123825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13</xdr:row>
      <xdr:rowOff>76200</xdr:rowOff>
    </xdr:from>
    <xdr:to>
      <xdr:col>8</xdr:col>
      <xdr:colOff>723900</xdr:colOff>
      <xdr:row>14</xdr:row>
      <xdr:rowOff>9525</xdr:rowOff>
    </xdr:to>
    <xdr:cxnSp macro="">
      <xdr:nvCxnSpPr>
        <xdr:cNvPr id="14" name="Straight Connector 13"/>
        <xdr:cNvCxnSpPr/>
      </xdr:nvCxnSpPr>
      <xdr:spPr>
        <a:xfrm>
          <a:off x="5591175" y="2552700"/>
          <a:ext cx="9525" cy="123825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285750</xdr:colOff>
      <xdr:row>16</xdr:row>
      <xdr:rowOff>0</xdr:rowOff>
    </xdr:from>
    <xdr:to>
      <xdr:col>17</xdr:col>
      <xdr:colOff>238125</xdr:colOff>
      <xdr:row>16</xdr:row>
      <xdr:rowOff>9526</xdr:rowOff>
    </xdr:to>
    <xdr:cxnSp macro="">
      <xdr:nvCxnSpPr>
        <xdr:cNvPr id="15" name="Straight Connector 14"/>
        <xdr:cNvCxnSpPr/>
      </xdr:nvCxnSpPr>
      <xdr:spPr>
        <a:xfrm flipV="1">
          <a:off x="3943350" y="3048000"/>
          <a:ext cx="6276975" cy="9526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15</xdr:row>
      <xdr:rowOff>180975</xdr:rowOff>
    </xdr:from>
    <xdr:to>
      <xdr:col>6</xdr:col>
      <xdr:colOff>295275</xdr:colOff>
      <xdr:row>17</xdr:row>
      <xdr:rowOff>28575</xdr:rowOff>
    </xdr:to>
    <xdr:cxnSp macro="">
      <xdr:nvCxnSpPr>
        <xdr:cNvPr id="17" name="Straight Connector 16"/>
        <xdr:cNvCxnSpPr/>
      </xdr:nvCxnSpPr>
      <xdr:spPr>
        <a:xfrm>
          <a:off x="3952875" y="3038475"/>
          <a:ext cx="0" cy="2286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323850</xdr:colOff>
      <xdr:row>16</xdr:row>
      <xdr:rowOff>9525</xdr:rowOff>
    </xdr:from>
    <xdr:to>
      <xdr:col>9</xdr:col>
      <xdr:colOff>323850</xdr:colOff>
      <xdr:row>17</xdr:row>
      <xdr:rowOff>47625</xdr:rowOff>
    </xdr:to>
    <xdr:cxnSp macro="">
      <xdr:nvCxnSpPr>
        <xdr:cNvPr id="20" name="Straight Connector 19"/>
        <xdr:cNvCxnSpPr/>
      </xdr:nvCxnSpPr>
      <xdr:spPr>
        <a:xfrm>
          <a:off x="6648450" y="3057525"/>
          <a:ext cx="0" cy="2286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200025</xdr:colOff>
      <xdr:row>16</xdr:row>
      <xdr:rowOff>9525</xdr:rowOff>
    </xdr:from>
    <xdr:to>
      <xdr:col>13</xdr:col>
      <xdr:colOff>200025</xdr:colOff>
      <xdr:row>17</xdr:row>
      <xdr:rowOff>47625</xdr:rowOff>
    </xdr:to>
    <xdr:cxnSp macro="">
      <xdr:nvCxnSpPr>
        <xdr:cNvPr id="21" name="Straight Connector 20"/>
        <xdr:cNvCxnSpPr/>
      </xdr:nvCxnSpPr>
      <xdr:spPr>
        <a:xfrm>
          <a:off x="8353425" y="3057525"/>
          <a:ext cx="0" cy="2286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228600</xdr:colOff>
      <xdr:row>16</xdr:row>
      <xdr:rowOff>0</xdr:rowOff>
    </xdr:from>
    <xdr:to>
      <xdr:col>17</xdr:col>
      <xdr:colOff>228600</xdr:colOff>
      <xdr:row>17</xdr:row>
      <xdr:rowOff>38100</xdr:rowOff>
    </xdr:to>
    <xdr:cxnSp macro="">
      <xdr:nvCxnSpPr>
        <xdr:cNvPr id="22" name="Straight Connector 21"/>
        <xdr:cNvCxnSpPr/>
      </xdr:nvCxnSpPr>
      <xdr:spPr>
        <a:xfrm>
          <a:off x="10210800" y="3048000"/>
          <a:ext cx="0" cy="2286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752475</xdr:colOff>
      <xdr:row>14</xdr:row>
      <xdr:rowOff>152400</xdr:rowOff>
    </xdr:from>
    <xdr:to>
      <xdr:col>8</xdr:col>
      <xdr:colOff>752475</xdr:colOff>
      <xdr:row>16</xdr:row>
      <xdr:rowOff>0</xdr:rowOff>
    </xdr:to>
    <xdr:cxnSp macro="">
      <xdr:nvCxnSpPr>
        <xdr:cNvPr id="23" name="Straight Connector 22"/>
        <xdr:cNvCxnSpPr/>
      </xdr:nvCxnSpPr>
      <xdr:spPr>
        <a:xfrm>
          <a:off x="5629275" y="2819400"/>
          <a:ext cx="0" cy="2286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19</xdr:row>
      <xdr:rowOff>9525</xdr:rowOff>
    </xdr:from>
    <xdr:to>
      <xdr:col>7</xdr:col>
      <xdr:colOff>247650</xdr:colOff>
      <xdr:row>19</xdr:row>
      <xdr:rowOff>19051</xdr:rowOff>
    </xdr:to>
    <xdr:cxnSp macro="">
      <xdr:nvCxnSpPr>
        <xdr:cNvPr id="24" name="Straight Connector 23"/>
        <xdr:cNvCxnSpPr/>
      </xdr:nvCxnSpPr>
      <xdr:spPr>
        <a:xfrm flipV="1">
          <a:off x="3343275" y="3629025"/>
          <a:ext cx="1171575" cy="9526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304800</xdr:colOff>
      <xdr:row>17</xdr:row>
      <xdr:rowOff>171450</xdr:rowOff>
    </xdr:from>
    <xdr:to>
      <xdr:col>6</xdr:col>
      <xdr:colOff>304801</xdr:colOff>
      <xdr:row>19</xdr:row>
      <xdr:rowOff>0</xdr:rowOff>
    </xdr:to>
    <xdr:cxnSp macro="">
      <xdr:nvCxnSpPr>
        <xdr:cNvPr id="26" name="Straight Connector 25"/>
        <xdr:cNvCxnSpPr/>
      </xdr:nvCxnSpPr>
      <xdr:spPr>
        <a:xfrm flipH="1">
          <a:off x="3962400" y="3409950"/>
          <a:ext cx="1" cy="20955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19</xdr:row>
      <xdr:rowOff>9525</xdr:rowOff>
    </xdr:from>
    <xdr:to>
      <xdr:col>7</xdr:col>
      <xdr:colOff>238125</xdr:colOff>
      <xdr:row>20</xdr:row>
      <xdr:rowOff>47625</xdr:rowOff>
    </xdr:to>
    <xdr:cxnSp macro="">
      <xdr:nvCxnSpPr>
        <xdr:cNvPr id="29" name="Straight Connector 28"/>
        <xdr:cNvCxnSpPr/>
      </xdr:nvCxnSpPr>
      <xdr:spPr>
        <a:xfrm>
          <a:off x="4505325" y="3629025"/>
          <a:ext cx="0" cy="2286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285750</xdr:colOff>
      <xdr:row>19</xdr:row>
      <xdr:rowOff>0</xdr:rowOff>
    </xdr:from>
    <xdr:to>
      <xdr:col>5</xdr:col>
      <xdr:colOff>285750</xdr:colOff>
      <xdr:row>20</xdr:row>
      <xdr:rowOff>38100</xdr:rowOff>
    </xdr:to>
    <xdr:cxnSp macro="">
      <xdr:nvCxnSpPr>
        <xdr:cNvPr id="30" name="Straight Connector 29"/>
        <xdr:cNvCxnSpPr/>
      </xdr:nvCxnSpPr>
      <xdr:spPr>
        <a:xfrm>
          <a:off x="3333750" y="3619500"/>
          <a:ext cx="0" cy="2286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1190625</xdr:colOff>
      <xdr:row>19</xdr:row>
      <xdr:rowOff>9525</xdr:rowOff>
    </xdr:from>
    <xdr:to>
      <xdr:col>10</xdr:col>
      <xdr:colOff>247650</xdr:colOff>
      <xdr:row>19</xdr:row>
      <xdr:rowOff>19050</xdr:rowOff>
    </xdr:to>
    <xdr:cxnSp macro="">
      <xdr:nvCxnSpPr>
        <xdr:cNvPr id="31" name="Straight Connector 30"/>
        <xdr:cNvCxnSpPr/>
      </xdr:nvCxnSpPr>
      <xdr:spPr>
        <a:xfrm flipV="1">
          <a:off x="6067425" y="3629025"/>
          <a:ext cx="1114425" cy="9525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17</xdr:row>
      <xdr:rowOff>171450</xdr:rowOff>
    </xdr:from>
    <xdr:to>
      <xdr:col>9</xdr:col>
      <xdr:colOff>304801</xdr:colOff>
      <xdr:row>19</xdr:row>
      <xdr:rowOff>0</xdr:rowOff>
    </xdr:to>
    <xdr:cxnSp macro="">
      <xdr:nvCxnSpPr>
        <xdr:cNvPr id="32" name="Straight Connector 31"/>
        <xdr:cNvCxnSpPr/>
      </xdr:nvCxnSpPr>
      <xdr:spPr>
        <a:xfrm flipH="1">
          <a:off x="3962400" y="3409950"/>
          <a:ext cx="1" cy="20955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19</xdr:row>
      <xdr:rowOff>9525</xdr:rowOff>
    </xdr:from>
    <xdr:to>
      <xdr:col>10</xdr:col>
      <xdr:colOff>238125</xdr:colOff>
      <xdr:row>20</xdr:row>
      <xdr:rowOff>47625</xdr:rowOff>
    </xdr:to>
    <xdr:cxnSp macro="">
      <xdr:nvCxnSpPr>
        <xdr:cNvPr id="33" name="Straight Connector 32"/>
        <xdr:cNvCxnSpPr/>
      </xdr:nvCxnSpPr>
      <xdr:spPr>
        <a:xfrm>
          <a:off x="4505325" y="3629025"/>
          <a:ext cx="0" cy="2286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1171575</xdr:colOff>
      <xdr:row>19</xdr:row>
      <xdr:rowOff>9525</xdr:rowOff>
    </xdr:from>
    <xdr:to>
      <xdr:col>8</xdr:col>
      <xdr:colOff>1171575</xdr:colOff>
      <xdr:row>20</xdr:row>
      <xdr:rowOff>47625</xdr:rowOff>
    </xdr:to>
    <xdr:cxnSp macro="">
      <xdr:nvCxnSpPr>
        <xdr:cNvPr id="34" name="Straight Connector 33"/>
        <xdr:cNvCxnSpPr/>
      </xdr:nvCxnSpPr>
      <xdr:spPr>
        <a:xfrm>
          <a:off x="6048375" y="3629025"/>
          <a:ext cx="0" cy="2286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266700</xdr:colOff>
      <xdr:row>19</xdr:row>
      <xdr:rowOff>9525</xdr:rowOff>
    </xdr:from>
    <xdr:to>
      <xdr:col>14</xdr:col>
      <xdr:colOff>247650</xdr:colOff>
      <xdr:row>19</xdr:row>
      <xdr:rowOff>9526</xdr:rowOff>
    </xdr:to>
    <xdr:cxnSp macro="">
      <xdr:nvCxnSpPr>
        <xdr:cNvPr id="36" name="Straight Connector 35"/>
        <xdr:cNvCxnSpPr/>
      </xdr:nvCxnSpPr>
      <xdr:spPr>
        <a:xfrm>
          <a:off x="8420100" y="3629025"/>
          <a:ext cx="1200150" cy="1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304800</xdr:colOff>
      <xdr:row>17</xdr:row>
      <xdr:rowOff>171450</xdr:rowOff>
    </xdr:from>
    <xdr:to>
      <xdr:col>13</xdr:col>
      <xdr:colOff>304801</xdr:colOff>
      <xdr:row>19</xdr:row>
      <xdr:rowOff>0</xdr:rowOff>
    </xdr:to>
    <xdr:cxnSp macro="">
      <xdr:nvCxnSpPr>
        <xdr:cNvPr id="37" name="Straight Connector 36"/>
        <xdr:cNvCxnSpPr/>
      </xdr:nvCxnSpPr>
      <xdr:spPr>
        <a:xfrm flipH="1">
          <a:off x="6629400" y="3409950"/>
          <a:ext cx="1" cy="20955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238125</xdr:colOff>
      <xdr:row>19</xdr:row>
      <xdr:rowOff>9525</xdr:rowOff>
    </xdr:from>
    <xdr:to>
      <xdr:col>14</xdr:col>
      <xdr:colOff>238125</xdr:colOff>
      <xdr:row>20</xdr:row>
      <xdr:rowOff>47625</xdr:rowOff>
    </xdr:to>
    <xdr:cxnSp macro="">
      <xdr:nvCxnSpPr>
        <xdr:cNvPr id="38" name="Straight Connector 37"/>
        <xdr:cNvCxnSpPr/>
      </xdr:nvCxnSpPr>
      <xdr:spPr>
        <a:xfrm>
          <a:off x="7172325" y="3629025"/>
          <a:ext cx="0" cy="2286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266700</xdr:colOff>
      <xdr:row>19</xdr:row>
      <xdr:rowOff>38100</xdr:rowOff>
    </xdr:from>
    <xdr:to>
      <xdr:col>12</xdr:col>
      <xdr:colOff>266700</xdr:colOff>
      <xdr:row>20</xdr:row>
      <xdr:rowOff>76200</xdr:rowOff>
    </xdr:to>
    <xdr:cxnSp macro="">
      <xdr:nvCxnSpPr>
        <xdr:cNvPr id="39" name="Straight Connector 38"/>
        <xdr:cNvCxnSpPr/>
      </xdr:nvCxnSpPr>
      <xdr:spPr>
        <a:xfrm>
          <a:off x="8420100" y="3657600"/>
          <a:ext cx="0" cy="2286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266700</xdr:colOff>
      <xdr:row>19</xdr:row>
      <xdr:rowOff>9525</xdr:rowOff>
    </xdr:from>
    <xdr:to>
      <xdr:col>18</xdr:col>
      <xdr:colOff>247650</xdr:colOff>
      <xdr:row>19</xdr:row>
      <xdr:rowOff>9526</xdr:rowOff>
    </xdr:to>
    <xdr:cxnSp macro="">
      <xdr:nvCxnSpPr>
        <xdr:cNvPr id="41" name="Straight Connector 40"/>
        <xdr:cNvCxnSpPr/>
      </xdr:nvCxnSpPr>
      <xdr:spPr>
        <a:xfrm>
          <a:off x="8420100" y="3629025"/>
          <a:ext cx="1200150" cy="1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304800</xdr:colOff>
      <xdr:row>17</xdr:row>
      <xdr:rowOff>171450</xdr:rowOff>
    </xdr:from>
    <xdr:to>
      <xdr:col>17</xdr:col>
      <xdr:colOff>304801</xdr:colOff>
      <xdr:row>19</xdr:row>
      <xdr:rowOff>0</xdr:rowOff>
    </xdr:to>
    <xdr:cxnSp macro="">
      <xdr:nvCxnSpPr>
        <xdr:cNvPr id="42" name="Straight Connector 41"/>
        <xdr:cNvCxnSpPr/>
      </xdr:nvCxnSpPr>
      <xdr:spPr>
        <a:xfrm flipH="1">
          <a:off x="9067800" y="3409950"/>
          <a:ext cx="1" cy="20955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238125</xdr:colOff>
      <xdr:row>19</xdr:row>
      <xdr:rowOff>9525</xdr:rowOff>
    </xdr:from>
    <xdr:to>
      <xdr:col>18</xdr:col>
      <xdr:colOff>238125</xdr:colOff>
      <xdr:row>20</xdr:row>
      <xdr:rowOff>47625</xdr:rowOff>
    </xdr:to>
    <xdr:cxnSp macro="">
      <xdr:nvCxnSpPr>
        <xdr:cNvPr id="43" name="Straight Connector 42"/>
        <xdr:cNvCxnSpPr/>
      </xdr:nvCxnSpPr>
      <xdr:spPr>
        <a:xfrm>
          <a:off x="9610725" y="3629025"/>
          <a:ext cx="0" cy="2286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266700</xdr:colOff>
      <xdr:row>19</xdr:row>
      <xdr:rowOff>38100</xdr:rowOff>
    </xdr:from>
    <xdr:to>
      <xdr:col>16</xdr:col>
      <xdr:colOff>266700</xdr:colOff>
      <xdr:row>20</xdr:row>
      <xdr:rowOff>76200</xdr:rowOff>
    </xdr:to>
    <xdr:cxnSp macro="">
      <xdr:nvCxnSpPr>
        <xdr:cNvPr id="44" name="Straight Connector 43"/>
        <xdr:cNvCxnSpPr/>
      </xdr:nvCxnSpPr>
      <xdr:spPr>
        <a:xfrm>
          <a:off x="8420100" y="3657600"/>
          <a:ext cx="0" cy="2286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14</xdr:row>
      <xdr:rowOff>171450</xdr:rowOff>
    </xdr:from>
    <xdr:to>
      <xdr:col>2</xdr:col>
      <xdr:colOff>190500</xdr:colOff>
      <xdr:row>17</xdr:row>
      <xdr:rowOff>28575</xdr:rowOff>
    </xdr:to>
    <xdr:cxnSp macro="">
      <xdr:nvCxnSpPr>
        <xdr:cNvPr id="45" name="Straight Connector 44"/>
        <xdr:cNvCxnSpPr/>
      </xdr:nvCxnSpPr>
      <xdr:spPr>
        <a:xfrm>
          <a:off x="1409700" y="2838450"/>
          <a:ext cx="0" cy="428625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200025</xdr:colOff>
      <xdr:row>17</xdr:row>
      <xdr:rowOff>171450</xdr:rowOff>
    </xdr:from>
    <xdr:to>
      <xdr:col>2</xdr:col>
      <xdr:colOff>200026</xdr:colOff>
      <xdr:row>19</xdr:row>
      <xdr:rowOff>0</xdr:rowOff>
    </xdr:to>
    <xdr:cxnSp macro="">
      <xdr:nvCxnSpPr>
        <xdr:cNvPr id="47" name="Straight Connector 46"/>
        <xdr:cNvCxnSpPr/>
      </xdr:nvCxnSpPr>
      <xdr:spPr>
        <a:xfrm flipH="1">
          <a:off x="1419225" y="3409950"/>
          <a:ext cx="1" cy="20955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219075</xdr:colOff>
      <xdr:row>19</xdr:row>
      <xdr:rowOff>19050</xdr:rowOff>
    </xdr:from>
    <xdr:to>
      <xdr:col>3</xdr:col>
      <xdr:colOff>171450</xdr:colOff>
      <xdr:row>19</xdr:row>
      <xdr:rowOff>28576</xdr:rowOff>
    </xdr:to>
    <xdr:cxnSp macro="">
      <xdr:nvCxnSpPr>
        <xdr:cNvPr id="48" name="Straight Connector 47"/>
        <xdr:cNvCxnSpPr/>
      </xdr:nvCxnSpPr>
      <xdr:spPr>
        <a:xfrm flipV="1">
          <a:off x="828675" y="3638550"/>
          <a:ext cx="1171575" cy="9526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19</xdr:row>
      <xdr:rowOff>9525</xdr:rowOff>
    </xdr:from>
    <xdr:to>
      <xdr:col>7</xdr:col>
      <xdr:colOff>247650</xdr:colOff>
      <xdr:row>19</xdr:row>
      <xdr:rowOff>19051</xdr:rowOff>
    </xdr:to>
    <xdr:cxnSp macro="">
      <xdr:nvCxnSpPr>
        <xdr:cNvPr id="49" name="Straight Connector 48"/>
        <xdr:cNvCxnSpPr/>
      </xdr:nvCxnSpPr>
      <xdr:spPr>
        <a:xfrm flipV="1">
          <a:off x="3343275" y="3629025"/>
          <a:ext cx="1171575" cy="9526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19</xdr:row>
      <xdr:rowOff>9525</xdr:rowOff>
    </xdr:from>
    <xdr:to>
      <xdr:col>7</xdr:col>
      <xdr:colOff>238125</xdr:colOff>
      <xdr:row>20</xdr:row>
      <xdr:rowOff>47625</xdr:rowOff>
    </xdr:to>
    <xdr:cxnSp macro="">
      <xdr:nvCxnSpPr>
        <xdr:cNvPr id="50" name="Straight Connector 49"/>
        <xdr:cNvCxnSpPr/>
      </xdr:nvCxnSpPr>
      <xdr:spPr>
        <a:xfrm>
          <a:off x="4505325" y="3629025"/>
          <a:ext cx="0" cy="2286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285750</xdr:colOff>
      <xdr:row>19</xdr:row>
      <xdr:rowOff>0</xdr:rowOff>
    </xdr:from>
    <xdr:to>
      <xdr:col>5</xdr:col>
      <xdr:colOff>285750</xdr:colOff>
      <xdr:row>20</xdr:row>
      <xdr:rowOff>38100</xdr:rowOff>
    </xdr:to>
    <xdr:cxnSp macro="">
      <xdr:nvCxnSpPr>
        <xdr:cNvPr id="51" name="Straight Connector 50"/>
        <xdr:cNvCxnSpPr/>
      </xdr:nvCxnSpPr>
      <xdr:spPr>
        <a:xfrm>
          <a:off x="3333750" y="3619500"/>
          <a:ext cx="0" cy="2286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190500</xdr:colOff>
      <xdr:row>19</xdr:row>
      <xdr:rowOff>19050</xdr:rowOff>
    </xdr:from>
    <xdr:to>
      <xdr:col>3</xdr:col>
      <xdr:colOff>190500</xdr:colOff>
      <xdr:row>20</xdr:row>
      <xdr:rowOff>57150</xdr:rowOff>
    </xdr:to>
    <xdr:cxnSp macro="">
      <xdr:nvCxnSpPr>
        <xdr:cNvPr id="56" name="Straight Connector 55"/>
        <xdr:cNvCxnSpPr/>
      </xdr:nvCxnSpPr>
      <xdr:spPr>
        <a:xfrm>
          <a:off x="2019300" y="3638550"/>
          <a:ext cx="0" cy="2286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219075</xdr:colOff>
      <xdr:row>18</xdr:row>
      <xdr:rowOff>180975</xdr:rowOff>
    </xdr:from>
    <xdr:to>
      <xdr:col>1</xdr:col>
      <xdr:colOff>219075</xdr:colOff>
      <xdr:row>20</xdr:row>
      <xdr:rowOff>28575</xdr:rowOff>
    </xdr:to>
    <xdr:cxnSp macro="">
      <xdr:nvCxnSpPr>
        <xdr:cNvPr id="57" name="Straight Connector 56"/>
        <xdr:cNvCxnSpPr/>
      </xdr:nvCxnSpPr>
      <xdr:spPr>
        <a:xfrm>
          <a:off x="828675" y="3609975"/>
          <a:ext cx="0" cy="2286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228600</xdr:colOff>
      <xdr:row>20</xdr:row>
      <xdr:rowOff>152400</xdr:rowOff>
    </xdr:from>
    <xdr:to>
      <xdr:col>3</xdr:col>
      <xdr:colOff>228601</xdr:colOff>
      <xdr:row>21</xdr:row>
      <xdr:rowOff>171450</xdr:rowOff>
    </xdr:to>
    <xdr:cxnSp macro="">
      <xdr:nvCxnSpPr>
        <xdr:cNvPr id="58" name="Straight Connector 57"/>
        <xdr:cNvCxnSpPr/>
      </xdr:nvCxnSpPr>
      <xdr:spPr>
        <a:xfrm flipH="1">
          <a:off x="2419350" y="3962400"/>
          <a:ext cx="1" cy="20955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21</xdr:row>
      <xdr:rowOff>161925</xdr:rowOff>
    </xdr:from>
    <xdr:to>
      <xdr:col>4</xdr:col>
      <xdr:colOff>247650</xdr:colOff>
      <xdr:row>21</xdr:row>
      <xdr:rowOff>171451</xdr:rowOff>
    </xdr:to>
    <xdr:cxnSp macro="">
      <xdr:nvCxnSpPr>
        <xdr:cNvPr id="59" name="Straight Connector 58"/>
        <xdr:cNvCxnSpPr/>
      </xdr:nvCxnSpPr>
      <xdr:spPr>
        <a:xfrm flipV="1">
          <a:off x="1838325" y="4162425"/>
          <a:ext cx="1209675" cy="9526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21</xdr:row>
      <xdr:rowOff>152400</xdr:rowOff>
    </xdr:from>
    <xdr:to>
      <xdr:col>2</xdr:col>
      <xdr:colOff>257175</xdr:colOff>
      <xdr:row>23</xdr:row>
      <xdr:rowOff>0</xdr:rowOff>
    </xdr:to>
    <xdr:cxnSp macro="">
      <xdr:nvCxnSpPr>
        <xdr:cNvPr id="61" name="Straight Connector 60"/>
        <xdr:cNvCxnSpPr/>
      </xdr:nvCxnSpPr>
      <xdr:spPr>
        <a:xfrm>
          <a:off x="1838325" y="4152900"/>
          <a:ext cx="0" cy="2286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209550</xdr:colOff>
      <xdr:row>21</xdr:row>
      <xdr:rowOff>142875</xdr:rowOff>
    </xdr:from>
    <xdr:to>
      <xdr:col>4</xdr:col>
      <xdr:colOff>209550</xdr:colOff>
      <xdr:row>22</xdr:row>
      <xdr:rowOff>180975</xdr:rowOff>
    </xdr:to>
    <xdr:cxnSp macro="">
      <xdr:nvCxnSpPr>
        <xdr:cNvPr id="62" name="Straight Connector 61"/>
        <xdr:cNvCxnSpPr/>
      </xdr:nvCxnSpPr>
      <xdr:spPr>
        <a:xfrm>
          <a:off x="3009900" y="4143375"/>
          <a:ext cx="0" cy="2286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20</xdr:row>
      <xdr:rowOff>152400</xdr:rowOff>
    </xdr:from>
    <xdr:to>
      <xdr:col>7</xdr:col>
      <xdr:colOff>228601</xdr:colOff>
      <xdr:row>21</xdr:row>
      <xdr:rowOff>171450</xdr:rowOff>
    </xdr:to>
    <xdr:cxnSp macro="">
      <xdr:nvCxnSpPr>
        <xdr:cNvPr id="64" name="Straight Connector 63"/>
        <xdr:cNvCxnSpPr/>
      </xdr:nvCxnSpPr>
      <xdr:spPr>
        <a:xfrm flipH="1">
          <a:off x="2419350" y="3962400"/>
          <a:ext cx="1" cy="20955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257175</xdr:colOff>
      <xdr:row>21</xdr:row>
      <xdr:rowOff>161925</xdr:rowOff>
    </xdr:from>
    <xdr:to>
      <xdr:col>8</xdr:col>
      <xdr:colOff>247650</xdr:colOff>
      <xdr:row>21</xdr:row>
      <xdr:rowOff>171451</xdr:rowOff>
    </xdr:to>
    <xdr:cxnSp macro="">
      <xdr:nvCxnSpPr>
        <xdr:cNvPr id="65" name="Straight Connector 64"/>
        <xdr:cNvCxnSpPr/>
      </xdr:nvCxnSpPr>
      <xdr:spPr>
        <a:xfrm flipV="1">
          <a:off x="1838325" y="4162425"/>
          <a:ext cx="1209675" cy="9526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257175</xdr:colOff>
      <xdr:row>21</xdr:row>
      <xdr:rowOff>152400</xdr:rowOff>
    </xdr:from>
    <xdr:to>
      <xdr:col>6</xdr:col>
      <xdr:colOff>257175</xdr:colOff>
      <xdr:row>23</xdr:row>
      <xdr:rowOff>0</xdr:rowOff>
    </xdr:to>
    <xdr:cxnSp macro="">
      <xdr:nvCxnSpPr>
        <xdr:cNvPr id="66" name="Straight Connector 65"/>
        <xdr:cNvCxnSpPr/>
      </xdr:nvCxnSpPr>
      <xdr:spPr>
        <a:xfrm>
          <a:off x="1838325" y="4152900"/>
          <a:ext cx="0" cy="2286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21</xdr:row>
      <xdr:rowOff>142875</xdr:rowOff>
    </xdr:from>
    <xdr:to>
      <xdr:col>8</xdr:col>
      <xdr:colOff>209550</xdr:colOff>
      <xdr:row>22</xdr:row>
      <xdr:rowOff>180975</xdr:rowOff>
    </xdr:to>
    <xdr:cxnSp macro="">
      <xdr:nvCxnSpPr>
        <xdr:cNvPr id="67" name="Straight Connector 66"/>
        <xdr:cNvCxnSpPr/>
      </xdr:nvCxnSpPr>
      <xdr:spPr>
        <a:xfrm>
          <a:off x="3009900" y="4143375"/>
          <a:ext cx="0" cy="2286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228600</xdr:colOff>
      <xdr:row>20</xdr:row>
      <xdr:rowOff>152400</xdr:rowOff>
    </xdr:from>
    <xdr:to>
      <xdr:col>10</xdr:col>
      <xdr:colOff>228601</xdr:colOff>
      <xdr:row>21</xdr:row>
      <xdr:rowOff>171450</xdr:rowOff>
    </xdr:to>
    <xdr:cxnSp macro="">
      <xdr:nvCxnSpPr>
        <xdr:cNvPr id="68" name="Straight Connector 67"/>
        <xdr:cNvCxnSpPr/>
      </xdr:nvCxnSpPr>
      <xdr:spPr>
        <a:xfrm flipH="1">
          <a:off x="4857750" y="3962400"/>
          <a:ext cx="1" cy="20955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257175</xdr:colOff>
      <xdr:row>21</xdr:row>
      <xdr:rowOff>161925</xdr:rowOff>
    </xdr:from>
    <xdr:to>
      <xdr:col>11</xdr:col>
      <xdr:colOff>247650</xdr:colOff>
      <xdr:row>21</xdr:row>
      <xdr:rowOff>171451</xdr:rowOff>
    </xdr:to>
    <xdr:cxnSp macro="">
      <xdr:nvCxnSpPr>
        <xdr:cNvPr id="69" name="Straight Connector 68"/>
        <xdr:cNvCxnSpPr/>
      </xdr:nvCxnSpPr>
      <xdr:spPr>
        <a:xfrm flipV="1">
          <a:off x="4276725" y="4162425"/>
          <a:ext cx="1209675" cy="9526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257175</xdr:colOff>
      <xdr:row>21</xdr:row>
      <xdr:rowOff>152400</xdr:rowOff>
    </xdr:from>
    <xdr:to>
      <xdr:col>9</xdr:col>
      <xdr:colOff>257175</xdr:colOff>
      <xdr:row>23</xdr:row>
      <xdr:rowOff>0</xdr:rowOff>
    </xdr:to>
    <xdr:cxnSp macro="">
      <xdr:nvCxnSpPr>
        <xdr:cNvPr id="70" name="Straight Connector 69"/>
        <xdr:cNvCxnSpPr/>
      </xdr:nvCxnSpPr>
      <xdr:spPr>
        <a:xfrm>
          <a:off x="4276725" y="4152900"/>
          <a:ext cx="0" cy="2286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209550</xdr:colOff>
      <xdr:row>21</xdr:row>
      <xdr:rowOff>142875</xdr:rowOff>
    </xdr:from>
    <xdr:to>
      <xdr:col>11</xdr:col>
      <xdr:colOff>209550</xdr:colOff>
      <xdr:row>22</xdr:row>
      <xdr:rowOff>180975</xdr:rowOff>
    </xdr:to>
    <xdr:cxnSp macro="">
      <xdr:nvCxnSpPr>
        <xdr:cNvPr id="71" name="Straight Connector 70"/>
        <xdr:cNvCxnSpPr/>
      </xdr:nvCxnSpPr>
      <xdr:spPr>
        <a:xfrm>
          <a:off x="5448300" y="4143375"/>
          <a:ext cx="0" cy="2286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228600</xdr:colOff>
      <xdr:row>20</xdr:row>
      <xdr:rowOff>152400</xdr:rowOff>
    </xdr:from>
    <xdr:to>
      <xdr:col>18</xdr:col>
      <xdr:colOff>228601</xdr:colOff>
      <xdr:row>21</xdr:row>
      <xdr:rowOff>171450</xdr:rowOff>
    </xdr:to>
    <xdr:cxnSp macro="">
      <xdr:nvCxnSpPr>
        <xdr:cNvPr id="72" name="Straight Connector 71"/>
        <xdr:cNvCxnSpPr/>
      </xdr:nvCxnSpPr>
      <xdr:spPr>
        <a:xfrm flipH="1">
          <a:off x="7524750" y="3962400"/>
          <a:ext cx="1" cy="20955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257175</xdr:colOff>
      <xdr:row>21</xdr:row>
      <xdr:rowOff>161925</xdr:rowOff>
    </xdr:from>
    <xdr:to>
      <xdr:col>19</xdr:col>
      <xdr:colOff>247650</xdr:colOff>
      <xdr:row>21</xdr:row>
      <xdr:rowOff>171451</xdr:rowOff>
    </xdr:to>
    <xdr:cxnSp macro="">
      <xdr:nvCxnSpPr>
        <xdr:cNvPr id="73" name="Straight Connector 72"/>
        <xdr:cNvCxnSpPr/>
      </xdr:nvCxnSpPr>
      <xdr:spPr>
        <a:xfrm flipV="1">
          <a:off x="6943725" y="4162425"/>
          <a:ext cx="1209675" cy="9526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257175</xdr:colOff>
      <xdr:row>21</xdr:row>
      <xdr:rowOff>152400</xdr:rowOff>
    </xdr:from>
    <xdr:to>
      <xdr:col>17</xdr:col>
      <xdr:colOff>257175</xdr:colOff>
      <xdr:row>23</xdr:row>
      <xdr:rowOff>0</xdr:rowOff>
    </xdr:to>
    <xdr:cxnSp macro="">
      <xdr:nvCxnSpPr>
        <xdr:cNvPr id="74" name="Straight Connector 73"/>
        <xdr:cNvCxnSpPr/>
      </xdr:nvCxnSpPr>
      <xdr:spPr>
        <a:xfrm>
          <a:off x="6943725" y="4152900"/>
          <a:ext cx="0" cy="2286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209550</xdr:colOff>
      <xdr:row>21</xdr:row>
      <xdr:rowOff>142875</xdr:rowOff>
    </xdr:from>
    <xdr:to>
      <xdr:col>19</xdr:col>
      <xdr:colOff>209550</xdr:colOff>
      <xdr:row>22</xdr:row>
      <xdr:rowOff>180975</xdr:rowOff>
    </xdr:to>
    <xdr:cxnSp macro="">
      <xdr:nvCxnSpPr>
        <xdr:cNvPr id="75" name="Straight Connector 74"/>
        <xdr:cNvCxnSpPr/>
      </xdr:nvCxnSpPr>
      <xdr:spPr>
        <a:xfrm>
          <a:off x="8115300" y="4143375"/>
          <a:ext cx="0" cy="2286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190394</xdr:colOff>
      <xdr:row>19</xdr:row>
      <xdr:rowOff>154075</xdr:rowOff>
    </xdr:to>
    <xdr:sp macro="" textlink="">
      <xdr:nvSpPr>
        <xdr:cNvPr id="60" name="Rectangle 59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190499</xdr:colOff>
      <xdr:row>19</xdr:row>
      <xdr:rowOff>114300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29</xdr:row>
      <xdr:rowOff>66675</xdr:rowOff>
    </xdr:from>
    <xdr:to>
      <xdr:col>2</xdr:col>
      <xdr:colOff>571500</xdr:colOff>
      <xdr:row>30</xdr:row>
      <xdr:rowOff>152400</xdr:rowOff>
    </xdr:to>
    <xdr:sp macro="" textlink="">
      <xdr:nvSpPr>
        <xdr:cNvPr id="2" name="Curved Up Arrow 1"/>
        <xdr:cNvSpPr/>
      </xdr:nvSpPr>
      <xdr:spPr>
        <a:xfrm>
          <a:off x="2133600" y="5810250"/>
          <a:ext cx="1028700" cy="285750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190499</xdr:colOff>
      <xdr:row>19</xdr:row>
      <xdr:rowOff>114300</xdr:rowOff>
    </xdr:to>
    <xdr:sp macro="" textlink="">
      <xdr:nvSpPr>
        <xdr:cNvPr id="3" name="Rectangle 2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31</xdr:row>
      <xdr:rowOff>66675</xdr:rowOff>
    </xdr:from>
    <xdr:to>
      <xdr:col>2</xdr:col>
      <xdr:colOff>571500</xdr:colOff>
      <xdr:row>32</xdr:row>
      <xdr:rowOff>152400</xdr:rowOff>
    </xdr:to>
    <xdr:sp macro="" textlink="">
      <xdr:nvSpPr>
        <xdr:cNvPr id="2" name="Curved Up Arrow 1"/>
        <xdr:cNvSpPr/>
      </xdr:nvSpPr>
      <xdr:spPr>
        <a:xfrm>
          <a:off x="2133600" y="5810250"/>
          <a:ext cx="1028700" cy="285750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295275</xdr:colOff>
      <xdr:row>27</xdr:row>
      <xdr:rowOff>9525</xdr:rowOff>
    </xdr:from>
    <xdr:to>
      <xdr:col>12</xdr:col>
      <xdr:colOff>247650</xdr:colOff>
      <xdr:row>27</xdr:row>
      <xdr:rowOff>19051</xdr:rowOff>
    </xdr:to>
    <xdr:cxnSp macro="">
      <xdr:nvCxnSpPr>
        <xdr:cNvPr id="4" name="Straight Connector 3"/>
        <xdr:cNvCxnSpPr/>
      </xdr:nvCxnSpPr>
      <xdr:spPr>
        <a:xfrm flipV="1">
          <a:off x="3705225" y="3629025"/>
          <a:ext cx="1171575" cy="9526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304800</xdr:colOff>
      <xdr:row>24</xdr:row>
      <xdr:rowOff>171450</xdr:rowOff>
    </xdr:from>
    <xdr:to>
      <xdr:col>11</xdr:col>
      <xdr:colOff>304801</xdr:colOff>
      <xdr:row>26</xdr:row>
      <xdr:rowOff>0</xdr:rowOff>
    </xdr:to>
    <xdr:cxnSp macro="">
      <xdr:nvCxnSpPr>
        <xdr:cNvPr id="5" name="Straight Connector 4"/>
        <xdr:cNvCxnSpPr/>
      </xdr:nvCxnSpPr>
      <xdr:spPr>
        <a:xfrm flipH="1">
          <a:off x="4324350" y="3409950"/>
          <a:ext cx="1" cy="20955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238125</xdr:colOff>
      <xdr:row>27</xdr:row>
      <xdr:rowOff>9525</xdr:rowOff>
    </xdr:from>
    <xdr:to>
      <xdr:col>12</xdr:col>
      <xdr:colOff>238125</xdr:colOff>
      <xdr:row>28</xdr:row>
      <xdr:rowOff>47625</xdr:rowOff>
    </xdr:to>
    <xdr:cxnSp macro="">
      <xdr:nvCxnSpPr>
        <xdr:cNvPr id="6" name="Straight Connector 5"/>
        <xdr:cNvCxnSpPr/>
      </xdr:nvCxnSpPr>
      <xdr:spPr>
        <a:xfrm>
          <a:off x="4867275" y="3629025"/>
          <a:ext cx="0" cy="2286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27</xdr:row>
      <xdr:rowOff>0</xdr:rowOff>
    </xdr:from>
    <xdr:to>
      <xdr:col>10</xdr:col>
      <xdr:colOff>285750</xdr:colOff>
      <xdr:row>28</xdr:row>
      <xdr:rowOff>38100</xdr:rowOff>
    </xdr:to>
    <xdr:cxnSp macro="">
      <xdr:nvCxnSpPr>
        <xdr:cNvPr id="7" name="Straight Connector 6"/>
        <xdr:cNvCxnSpPr/>
      </xdr:nvCxnSpPr>
      <xdr:spPr>
        <a:xfrm>
          <a:off x="3695700" y="3619500"/>
          <a:ext cx="0" cy="2286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27</xdr:row>
      <xdr:rowOff>9525</xdr:rowOff>
    </xdr:from>
    <xdr:to>
      <xdr:col>12</xdr:col>
      <xdr:colOff>247650</xdr:colOff>
      <xdr:row>27</xdr:row>
      <xdr:rowOff>19051</xdr:rowOff>
    </xdr:to>
    <xdr:cxnSp macro="">
      <xdr:nvCxnSpPr>
        <xdr:cNvPr id="9" name="Straight Connector 8"/>
        <xdr:cNvCxnSpPr/>
      </xdr:nvCxnSpPr>
      <xdr:spPr>
        <a:xfrm flipV="1">
          <a:off x="3705225" y="3629025"/>
          <a:ext cx="1171575" cy="9526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238125</xdr:colOff>
      <xdr:row>27</xdr:row>
      <xdr:rowOff>9525</xdr:rowOff>
    </xdr:from>
    <xdr:to>
      <xdr:col>12</xdr:col>
      <xdr:colOff>238125</xdr:colOff>
      <xdr:row>28</xdr:row>
      <xdr:rowOff>47625</xdr:rowOff>
    </xdr:to>
    <xdr:cxnSp macro="">
      <xdr:nvCxnSpPr>
        <xdr:cNvPr id="10" name="Straight Connector 9"/>
        <xdr:cNvCxnSpPr/>
      </xdr:nvCxnSpPr>
      <xdr:spPr>
        <a:xfrm>
          <a:off x="4867275" y="3629025"/>
          <a:ext cx="0" cy="2286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27</xdr:row>
      <xdr:rowOff>0</xdr:rowOff>
    </xdr:from>
    <xdr:to>
      <xdr:col>10</xdr:col>
      <xdr:colOff>285750</xdr:colOff>
      <xdr:row>28</xdr:row>
      <xdr:rowOff>38100</xdr:rowOff>
    </xdr:to>
    <xdr:cxnSp macro="">
      <xdr:nvCxnSpPr>
        <xdr:cNvPr id="11" name="Straight Connector 10"/>
        <xdr:cNvCxnSpPr/>
      </xdr:nvCxnSpPr>
      <xdr:spPr>
        <a:xfrm>
          <a:off x="3695700" y="3619500"/>
          <a:ext cx="0" cy="2286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228600</xdr:colOff>
      <xdr:row>28</xdr:row>
      <xdr:rowOff>152400</xdr:rowOff>
    </xdr:from>
    <xdr:to>
      <xdr:col>12</xdr:col>
      <xdr:colOff>228601</xdr:colOff>
      <xdr:row>29</xdr:row>
      <xdr:rowOff>171450</xdr:rowOff>
    </xdr:to>
    <xdr:cxnSp macro="">
      <xdr:nvCxnSpPr>
        <xdr:cNvPr id="12" name="Straight Connector 11"/>
        <xdr:cNvCxnSpPr/>
      </xdr:nvCxnSpPr>
      <xdr:spPr>
        <a:xfrm flipH="1">
          <a:off x="4857750" y="3962400"/>
          <a:ext cx="1" cy="20955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257175</xdr:colOff>
      <xdr:row>30</xdr:row>
      <xdr:rowOff>0</xdr:rowOff>
    </xdr:from>
    <xdr:to>
      <xdr:col>13</xdr:col>
      <xdr:colOff>247650</xdr:colOff>
      <xdr:row>30</xdr:row>
      <xdr:rowOff>9526</xdr:rowOff>
    </xdr:to>
    <xdr:cxnSp macro="">
      <xdr:nvCxnSpPr>
        <xdr:cNvPr id="13" name="Straight Connector 12"/>
        <xdr:cNvCxnSpPr/>
      </xdr:nvCxnSpPr>
      <xdr:spPr>
        <a:xfrm flipV="1">
          <a:off x="8696325" y="5962650"/>
          <a:ext cx="2133600" cy="9526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257175</xdr:colOff>
      <xdr:row>29</xdr:row>
      <xdr:rowOff>152400</xdr:rowOff>
    </xdr:from>
    <xdr:to>
      <xdr:col>11</xdr:col>
      <xdr:colOff>257175</xdr:colOff>
      <xdr:row>31</xdr:row>
      <xdr:rowOff>0</xdr:rowOff>
    </xdr:to>
    <xdr:cxnSp macro="">
      <xdr:nvCxnSpPr>
        <xdr:cNvPr id="14" name="Straight Connector 13"/>
        <xdr:cNvCxnSpPr/>
      </xdr:nvCxnSpPr>
      <xdr:spPr>
        <a:xfrm>
          <a:off x="4276725" y="4152900"/>
          <a:ext cx="0" cy="2286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209550</xdr:colOff>
      <xdr:row>29</xdr:row>
      <xdr:rowOff>142875</xdr:rowOff>
    </xdr:from>
    <xdr:to>
      <xdr:col>13</xdr:col>
      <xdr:colOff>209550</xdr:colOff>
      <xdr:row>30</xdr:row>
      <xdr:rowOff>180975</xdr:rowOff>
    </xdr:to>
    <xdr:cxnSp macro="">
      <xdr:nvCxnSpPr>
        <xdr:cNvPr id="15" name="Straight Connector 14"/>
        <xdr:cNvCxnSpPr/>
      </xdr:nvCxnSpPr>
      <xdr:spPr>
        <a:xfrm>
          <a:off x="5448300" y="4143375"/>
          <a:ext cx="0" cy="2286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57149</xdr:colOff>
      <xdr:row>19</xdr:row>
      <xdr:rowOff>76200</xdr:rowOff>
    </xdr:to>
    <xdr:sp macro="" textlink="">
      <xdr:nvSpPr>
        <xdr:cNvPr id="16" name="Rectangle 15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17</xdr:row>
      <xdr:rowOff>66675</xdr:rowOff>
    </xdr:from>
    <xdr:to>
      <xdr:col>2</xdr:col>
      <xdr:colOff>571500</xdr:colOff>
      <xdr:row>18</xdr:row>
      <xdr:rowOff>152400</xdr:rowOff>
    </xdr:to>
    <xdr:sp macro="" textlink="">
      <xdr:nvSpPr>
        <xdr:cNvPr id="2" name="Curved Up Arrow 1"/>
        <xdr:cNvSpPr/>
      </xdr:nvSpPr>
      <xdr:spPr>
        <a:xfrm>
          <a:off x="1866900" y="6229350"/>
          <a:ext cx="733425" cy="295275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561974</xdr:colOff>
      <xdr:row>18</xdr:row>
      <xdr:rowOff>76200</xdr:rowOff>
    </xdr:to>
    <xdr:sp macro="" textlink="">
      <xdr:nvSpPr>
        <xdr:cNvPr id="3" name="Rectangle 2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33</xdr:row>
      <xdr:rowOff>66675</xdr:rowOff>
    </xdr:from>
    <xdr:to>
      <xdr:col>2</xdr:col>
      <xdr:colOff>571500</xdr:colOff>
      <xdr:row>34</xdr:row>
      <xdr:rowOff>152400</xdr:rowOff>
    </xdr:to>
    <xdr:sp macro="" textlink="">
      <xdr:nvSpPr>
        <xdr:cNvPr id="2" name="Curved Up Arrow 1"/>
        <xdr:cNvSpPr/>
      </xdr:nvSpPr>
      <xdr:spPr>
        <a:xfrm>
          <a:off x="1866900" y="6229350"/>
          <a:ext cx="733425" cy="295275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295275</xdr:colOff>
      <xdr:row>31</xdr:row>
      <xdr:rowOff>9525</xdr:rowOff>
    </xdr:from>
    <xdr:to>
      <xdr:col>13</xdr:col>
      <xdr:colOff>247650</xdr:colOff>
      <xdr:row>31</xdr:row>
      <xdr:rowOff>19051</xdr:rowOff>
    </xdr:to>
    <xdr:cxnSp macro="">
      <xdr:nvCxnSpPr>
        <xdr:cNvPr id="3" name="Straight Connector 2"/>
        <xdr:cNvCxnSpPr/>
      </xdr:nvCxnSpPr>
      <xdr:spPr>
        <a:xfrm flipV="1">
          <a:off x="8124825" y="5400675"/>
          <a:ext cx="1695450" cy="9526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304800</xdr:colOff>
      <xdr:row>28</xdr:row>
      <xdr:rowOff>171450</xdr:rowOff>
    </xdr:from>
    <xdr:to>
      <xdr:col>12</xdr:col>
      <xdr:colOff>304801</xdr:colOff>
      <xdr:row>30</xdr:row>
      <xdr:rowOff>0</xdr:rowOff>
    </xdr:to>
    <xdr:cxnSp macro="">
      <xdr:nvCxnSpPr>
        <xdr:cNvPr id="4" name="Straight Connector 3"/>
        <xdr:cNvCxnSpPr/>
      </xdr:nvCxnSpPr>
      <xdr:spPr>
        <a:xfrm flipH="1">
          <a:off x="8743950" y="4800600"/>
          <a:ext cx="1" cy="40005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238125</xdr:colOff>
      <xdr:row>31</xdr:row>
      <xdr:rowOff>9525</xdr:rowOff>
    </xdr:from>
    <xdr:to>
      <xdr:col>13</xdr:col>
      <xdr:colOff>238125</xdr:colOff>
      <xdr:row>32</xdr:row>
      <xdr:rowOff>47625</xdr:rowOff>
    </xdr:to>
    <xdr:cxnSp macro="">
      <xdr:nvCxnSpPr>
        <xdr:cNvPr id="5" name="Straight Connector 4"/>
        <xdr:cNvCxnSpPr/>
      </xdr:nvCxnSpPr>
      <xdr:spPr>
        <a:xfrm>
          <a:off x="9810750" y="5400675"/>
          <a:ext cx="0" cy="2286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285750</xdr:colOff>
      <xdr:row>31</xdr:row>
      <xdr:rowOff>0</xdr:rowOff>
    </xdr:from>
    <xdr:to>
      <xdr:col>11</xdr:col>
      <xdr:colOff>285750</xdr:colOff>
      <xdr:row>32</xdr:row>
      <xdr:rowOff>38100</xdr:rowOff>
    </xdr:to>
    <xdr:cxnSp macro="">
      <xdr:nvCxnSpPr>
        <xdr:cNvPr id="6" name="Straight Connector 5"/>
        <xdr:cNvCxnSpPr/>
      </xdr:nvCxnSpPr>
      <xdr:spPr>
        <a:xfrm>
          <a:off x="8115300" y="5391150"/>
          <a:ext cx="0" cy="2286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31</xdr:row>
      <xdr:rowOff>9525</xdr:rowOff>
    </xdr:from>
    <xdr:to>
      <xdr:col>13</xdr:col>
      <xdr:colOff>247650</xdr:colOff>
      <xdr:row>31</xdr:row>
      <xdr:rowOff>19051</xdr:rowOff>
    </xdr:to>
    <xdr:cxnSp macro="">
      <xdr:nvCxnSpPr>
        <xdr:cNvPr id="7" name="Straight Connector 6"/>
        <xdr:cNvCxnSpPr/>
      </xdr:nvCxnSpPr>
      <xdr:spPr>
        <a:xfrm flipV="1">
          <a:off x="8124825" y="5400675"/>
          <a:ext cx="1695450" cy="9526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238125</xdr:colOff>
      <xdr:row>31</xdr:row>
      <xdr:rowOff>9525</xdr:rowOff>
    </xdr:from>
    <xdr:to>
      <xdr:col>13</xdr:col>
      <xdr:colOff>238125</xdr:colOff>
      <xdr:row>32</xdr:row>
      <xdr:rowOff>47625</xdr:rowOff>
    </xdr:to>
    <xdr:cxnSp macro="">
      <xdr:nvCxnSpPr>
        <xdr:cNvPr id="8" name="Straight Connector 7"/>
        <xdr:cNvCxnSpPr/>
      </xdr:nvCxnSpPr>
      <xdr:spPr>
        <a:xfrm>
          <a:off x="9810750" y="5400675"/>
          <a:ext cx="0" cy="2286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285750</xdr:colOff>
      <xdr:row>31</xdr:row>
      <xdr:rowOff>0</xdr:rowOff>
    </xdr:from>
    <xdr:to>
      <xdr:col>11</xdr:col>
      <xdr:colOff>285750</xdr:colOff>
      <xdr:row>32</xdr:row>
      <xdr:rowOff>38100</xdr:rowOff>
    </xdr:to>
    <xdr:cxnSp macro="">
      <xdr:nvCxnSpPr>
        <xdr:cNvPr id="9" name="Straight Connector 8"/>
        <xdr:cNvCxnSpPr/>
      </xdr:nvCxnSpPr>
      <xdr:spPr>
        <a:xfrm>
          <a:off x="8115300" y="5391150"/>
          <a:ext cx="0" cy="2286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228600</xdr:colOff>
      <xdr:row>32</xdr:row>
      <xdr:rowOff>152400</xdr:rowOff>
    </xdr:from>
    <xdr:to>
      <xdr:col>13</xdr:col>
      <xdr:colOff>228601</xdr:colOff>
      <xdr:row>33</xdr:row>
      <xdr:rowOff>171450</xdr:rowOff>
    </xdr:to>
    <xdr:cxnSp macro="">
      <xdr:nvCxnSpPr>
        <xdr:cNvPr id="10" name="Straight Connector 9"/>
        <xdr:cNvCxnSpPr/>
      </xdr:nvCxnSpPr>
      <xdr:spPr>
        <a:xfrm flipH="1">
          <a:off x="9801225" y="5734050"/>
          <a:ext cx="1" cy="20955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257175</xdr:colOff>
      <xdr:row>34</xdr:row>
      <xdr:rowOff>0</xdr:rowOff>
    </xdr:from>
    <xdr:to>
      <xdr:col>14</xdr:col>
      <xdr:colOff>247650</xdr:colOff>
      <xdr:row>34</xdr:row>
      <xdr:rowOff>9526</xdr:rowOff>
    </xdr:to>
    <xdr:cxnSp macro="">
      <xdr:nvCxnSpPr>
        <xdr:cNvPr id="11" name="Straight Connector 10"/>
        <xdr:cNvCxnSpPr/>
      </xdr:nvCxnSpPr>
      <xdr:spPr>
        <a:xfrm flipV="1">
          <a:off x="8696325" y="5962650"/>
          <a:ext cx="2133600" cy="9526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257175</xdr:colOff>
      <xdr:row>33</xdr:row>
      <xdr:rowOff>152400</xdr:rowOff>
    </xdr:from>
    <xdr:to>
      <xdr:col>12</xdr:col>
      <xdr:colOff>257175</xdr:colOff>
      <xdr:row>35</xdr:row>
      <xdr:rowOff>0</xdr:rowOff>
    </xdr:to>
    <xdr:cxnSp macro="">
      <xdr:nvCxnSpPr>
        <xdr:cNvPr id="12" name="Straight Connector 11"/>
        <xdr:cNvCxnSpPr/>
      </xdr:nvCxnSpPr>
      <xdr:spPr>
        <a:xfrm>
          <a:off x="8696325" y="5924550"/>
          <a:ext cx="0" cy="238125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209550</xdr:colOff>
      <xdr:row>33</xdr:row>
      <xdr:rowOff>142875</xdr:rowOff>
    </xdr:from>
    <xdr:to>
      <xdr:col>14</xdr:col>
      <xdr:colOff>209550</xdr:colOff>
      <xdr:row>34</xdr:row>
      <xdr:rowOff>180975</xdr:rowOff>
    </xdr:to>
    <xdr:cxnSp macro="">
      <xdr:nvCxnSpPr>
        <xdr:cNvPr id="13" name="Straight Connector 12"/>
        <xdr:cNvCxnSpPr/>
      </xdr:nvCxnSpPr>
      <xdr:spPr>
        <a:xfrm>
          <a:off x="10791825" y="5915025"/>
          <a:ext cx="0" cy="2286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466724</xdr:colOff>
      <xdr:row>19</xdr:row>
      <xdr:rowOff>76200</xdr:rowOff>
    </xdr:to>
    <xdr:sp macro="" textlink="">
      <xdr:nvSpPr>
        <xdr:cNvPr id="14" name="Rectangle 13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342899</xdr:colOff>
      <xdr:row>19</xdr:row>
      <xdr:rowOff>114300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32</xdr:row>
      <xdr:rowOff>66675</xdr:rowOff>
    </xdr:from>
    <xdr:to>
      <xdr:col>2</xdr:col>
      <xdr:colOff>571500</xdr:colOff>
      <xdr:row>33</xdr:row>
      <xdr:rowOff>152400</xdr:rowOff>
    </xdr:to>
    <xdr:sp macro="" textlink="">
      <xdr:nvSpPr>
        <xdr:cNvPr id="2" name="Curved Up Arrow 1"/>
        <xdr:cNvSpPr/>
      </xdr:nvSpPr>
      <xdr:spPr>
        <a:xfrm>
          <a:off x="1981200" y="6610350"/>
          <a:ext cx="733425" cy="285750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295275</xdr:colOff>
      <xdr:row>33</xdr:row>
      <xdr:rowOff>9525</xdr:rowOff>
    </xdr:from>
    <xdr:to>
      <xdr:col>12</xdr:col>
      <xdr:colOff>247650</xdr:colOff>
      <xdr:row>33</xdr:row>
      <xdr:rowOff>19051</xdr:rowOff>
    </xdr:to>
    <xdr:cxnSp macro="">
      <xdr:nvCxnSpPr>
        <xdr:cNvPr id="3" name="Straight Connector 2"/>
        <xdr:cNvCxnSpPr/>
      </xdr:nvCxnSpPr>
      <xdr:spPr>
        <a:xfrm flipV="1">
          <a:off x="8763000" y="6162675"/>
          <a:ext cx="1657350" cy="9526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304800</xdr:colOff>
      <xdr:row>30</xdr:row>
      <xdr:rowOff>171450</xdr:rowOff>
    </xdr:from>
    <xdr:to>
      <xdr:col>11</xdr:col>
      <xdr:colOff>304801</xdr:colOff>
      <xdr:row>32</xdr:row>
      <xdr:rowOff>0</xdr:rowOff>
    </xdr:to>
    <xdr:cxnSp macro="">
      <xdr:nvCxnSpPr>
        <xdr:cNvPr id="4" name="Straight Connector 3"/>
        <xdr:cNvCxnSpPr/>
      </xdr:nvCxnSpPr>
      <xdr:spPr>
        <a:xfrm flipH="1">
          <a:off x="9382125" y="5753100"/>
          <a:ext cx="1" cy="20955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238125</xdr:colOff>
      <xdr:row>33</xdr:row>
      <xdr:rowOff>9525</xdr:rowOff>
    </xdr:from>
    <xdr:to>
      <xdr:col>12</xdr:col>
      <xdr:colOff>238125</xdr:colOff>
      <xdr:row>34</xdr:row>
      <xdr:rowOff>47625</xdr:rowOff>
    </xdr:to>
    <xdr:cxnSp macro="">
      <xdr:nvCxnSpPr>
        <xdr:cNvPr id="5" name="Straight Connector 4"/>
        <xdr:cNvCxnSpPr/>
      </xdr:nvCxnSpPr>
      <xdr:spPr>
        <a:xfrm>
          <a:off x="10410825" y="6162675"/>
          <a:ext cx="0" cy="2286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33</xdr:row>
      <xdr:rowOff>0</xdr:rowOff>
    </xdr:from>
    <xdr:to>
      <xdr:col>10</xdr:col>
      <xdr:colOff>285750</xdr:colOff>
      <xdr:row>34</xdr:row>
      <xdr:rowOff>38100</xdr:rowOff>
    </xdr:to>
    <xdr:cxnSp macro="">
      <xdr:nvCxnSpPr>
        <xdr:cNvPr id="6" name="Straight Connector 5"/>
        <xdr:cNvCxnSpPr/>
      </xdr:nvCxnSpPr>
      <xdr:spPr>
        <a:xfrm>
          <a:off x="8753475" y="6153150"/>
          <a:ext cx="0" cy="2286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33</xdr:row>
      <xdr:rowOff>9525</xdr:rowOff>
    </xdr:from>
    <xdr:to>
      <xdr:col>12</xdr:col>
      <xdr:colOff>247650</xdr:colOff>
      <xdr:row>33</xdr:row>
      <xdr:rowOff>19051</xdr:rowOff>
    </xdr:to>
    <xdr:cxnSp macro="">
      <xdr:nvCxnSpPr>
        <xdr:cNvPr id="7" name="Straight Connector 6"/>
        <xdr:cNvCxnSpPr/>
      </xdr:nvCxnSpPr>
      <xdr:spPr>
        <a:xfrm flipV="1">
          <a:off x="8763000" y="6162675"/>
          <a:ext cx="1657350" cy="9526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238125</xdr:colOff>
      <xdr:row>33</xdr:row>
      <xdr:rowOff>9525</xdr:rowOff>
    </xdr:from>
    <xdr:to>
      <xdr:col>12</xdr:col>
      <xdr:colOff>238125</xdr:colOff>
      <xdr:row>34</xdr:row>
      <xdr:rowOff>47625</xdr:rowOff>
    </xdr:to>
    <xdr:cxnSp macro="">
      <xdr:nvCxnSpPr>
        <xdr:cNvPr id="8" name="Straight Connector 7"/>
        <xdr:cNvCxnSpPr/>
      </xdr:nvCxnSpPr>
      <xdr:spPr>
        <a:xfrm>
          <a:off x="10410825" y="6162675"/>
          <a:ext cx="0" cy="2286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33</xdr:row>
      <xdr:rowOff>0</xdr:rowOff>
    </xdr:from>
    <xdr:to>
      <xdr:col>10</xdr:col>
      <xdr:colOff>285750</xdr:colOff>
      <xdr:row>34</xdr:row>
      <xdr:rowOff>38100</xdr:rowOff>
    </xdr:to>
    <xdr:cxnSp macro="">
      <xdr:nvCxnSpPr>
        <xdr:cNvPr id="9" name="Straight Connector 8"/>
        <xdr:cNvCxnSpPr/>
      </xdr:nvCxnSpPr>
      <xdr:spPr>
        <a:xfrm>
          <a:off x="8753475" y="6153150"/>
          <a:ext cx="0" cy="2286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228600</xdr:colOff>
      <xdr:row>34</xdr:row>
      <xdr:rowOff>152400</xdr:rowOff>
    </xdr:from>
    <xdr:to>
      <xdr:col>12</xdr:col>
      <xdr:colOff>228601</xdr:colOff>
      <xdr:row>35</xdr:row>
      <xdr:rowOff>171450</xdr:rowOff>
    </xdr:to>
    <xdr:cxnSp macro="">
      <xdr:nvCxnSpPr>
        <xdr:cNvPr id="10" name="Straight Connector 9"/>
        <xdr:cNvCxnSpPr/>
      </xdr:nvCxnSpPr>
      <xdr:spPr>
        <a:xfrm flipH="1">
          <a:off x="10401300" y="6496050"/>
          <a:ext cx="1" cy="219075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257175</xdr:colOff>
      <xdr:row>36</xdr:row>
      <xdr:rowOff>0</xdr:rowOff>
    </xdr:from>
    <xdr:to>
      <xdr:col>13</xdr:col>
      <xdr:colOff>247650</xdr:colOff>
      <xdr:row>36</xdr:row>
      <xdr:rowOff>9526</xdr:rowOff>
    </xdr:to>
    <xdr:cxnSp macro="">
      <xdr:nvCxnSpPr>
        <xdr:cNvPr id="11" name="Straight Connector 10"/>
        <xdr:cNvCxnSpPr/>
      </xdr:nvCxnSpPr>
      <xdr:spPr>
        <a:xfrm flipV="1">
          <a:off x="9334500" y="6743700"/>
          <a:ext cx="2047875" cy="9526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257175</xdr:colOff>
      <xdr:row>35</xdr:row>
      <xdr:rowOff>152400</xdr:rowOff>
    </xdr:from>
    <xdr:to>
      <xdr:col>11</xdr:col>
      <xdr:colOff>257175</xdr:colOff>
      <xdr:row>37</xdr:row>
      <xdr:rowOff>0</xdr:rowOff>
    </xdr:to>
    <xdr:cxnSp macro="">
      <xdr:nvCxnSpPr>
        <xdr:cNvPr id="12" name="Straight Connector 11"/>
        <xdr:cNvCxnSpPr/>
      </xdr:nvCxnSpPr>
      <xdr:spPr>
        <a:xfrm>
          <a:off x="9334500" y="6696075"/>
          <a:ext cx="0" cy="238125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209550</xdr:colOff>
      <xdr:row>35</xdr:row>
      <xdr:rowOff>142875</xdr:rowOff>
    </xdr:from>
    <xdr:to>
      <xdr:col>13</xdr:col>
      <xdr:colOff>209550</xdr:colOff>
      <xdr:row>36</xdr:row>
      <xdr:rowOff>180975</xdr:rowOff>
    </xdr:to>
    <xdr:cxnSp macro="">
      <xdr:nvCxnSpPr>
        <xdr:cNvPr id="13" name="Straight Connector 12"/>
        <xdr:cNvCxnSpPr/>
      </xdr:nvCxnSpPr>
      <xdr:spPr>
        <a:xfrm>
          <a:off x="11344275" y="6686550"/>
          <a:ext cx="0" cy="238125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276224</xdr:colOff>
      <xdr:row>19</xdr:row>
      <xdr:rowOff>76200</xdr:rowOff>
    </xdr:to>
    <xdr:sp macro="" textlink="">
      <xdr:nvSpPr>
        <xdr:cNvPr id="14" name="Rectangle 13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19</xdr:col>
      <xdr:colOff>38099</xdr:colOff>
      <xdr:row>19</xdr:row>
      <xdr:rowOff>114300</xdr:rowOff>
    </xdr:to>
    <xdr:sp macro="" textlink="">
      <xdr:nvSpPr>
        <xdr:cNvPr id="2" name="Rectangle 1"/>
        <xdr:cNvSpPr>
          <a:spLocks/>
        </xdr:cNvSpPr>
      </xdr:nvSpPr>
      <xdr:spPr>
        <a:xfrm>
          <a:off x="752475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466724</xdr:colOff>
      <xdr:row>19</xdr:row>
      <xdr:rowOff>114300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257174</xdr:colOff>
      <xdr:row>19</xdr:row>
      <xdr:rowOff>95250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276224</xdr:colOff>
      <xdr:row>19</xdr:row>
      <xdr:rowOff>114300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50</xdr:row>
      <xdr:rowOff>66675</xdr:rowOff>
    </xdr:from>
    <xdr:to>
      <xdr:col>2</xdr:col>
      <xdr:colOff>571500</xdr:colOff>
      <xdr:row>51</xdr:row>
      <xdr:rowOff>152400</xdr:rowOff>
    </xdr:to>
    <xdr:sp macro="" textlink="">
      <xdr:nvSpPr>
        <xdr:cNvPr id="2" name="Curved Up Arrow 1"/>
        <xdr:cNvSpPr/>
      </xdr:nvSpPr>
      <xdr:spPr>
        <a:xfrm>
          <a:off x="1981200" y="6610350"/>
          <a:ext cx="733425" cy="285750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447674</xdr:colOff>
      <xdr:row>19</xdr:row>
      <xdr:rowOff>114300</xdr:rowOff>
    </xdr:to>
    <xdr:sp macro="" textlink="">
      <xdr:nvSpPr>
        <xdr:cNvPr id="3" name="Rectangle 2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17</xdr:row>
      <xdr:rowOff>66675</xdr:rowOff>
    </xdr:from>
    <xdr:to>
      <xdr:col>2</xdr:col>
      <xdr:colOff>571500</xdr:colOff>
      <xdr:row>18</xdr:row>
      <xdr:rowOff>152400</xdr:rowOff>
    </xdr:to>
    <xdr:sp macro="" textlink="">
      <xdr:nvSpPr>
        <xdr:cNvPr id="2" name="Curved Up Arrow 1"/>
        <xdr:cNvSpPr/>
      </xdr:nvSpPr>
      <xdr:spPr>
        <a:xfrm>
          <a:off x="1533525" y="6419850"/>
          <a:ext cx="733425" cy="285750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419099</xdr:colOff>
      <xdr:row>18</xdr:row>
      <xdr:rowOff>76200</xdr:rowOff>
    </xdr:to>
    <xdr:sp macro="" textlink="">
      <xdr:nvSpPr>
        <xdr:cNvPr id="3" name="Rectangle 2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37</xdr:row>
      <xdr:rowOff>66675</xdr:rowOff>
    </xdr:from>
    <xdr:to>
      <xdr:col>2</xdr:col>
      <xdr:colOff>571500</xdr:colOff>
      <xdr:row>38</xdr:row>
      <xdr:rowOff>152400</xdr:rowOff>
    </xdr:to>
    <xdr:sp macro="" textlink="">
      <xdr:nvSpPr>
        <xdr:cNvPr id="2" name="Curved Up Arrow 1"/>
        <xdr:cNvSpPr/>
      </xdr:nvSpPr>
      <xdr:spPr>
        <a:xfrm>
          <a:off x="1885950" y="3524250"/>
          <a:ext cx="1047750" cy="285750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590549</xdr:colOff>
      <xdr:row>19</xdr:row>
      <xdr:rowOff>114300</xdr:rowOff>
    </xdr:to>
    <xdr:sp macro="" textlink="">
      <xdr:nvSpPr>
        <xdr:cNvPr id="3" name="Rectangle 2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17</xdr:row>
      <xdr:rowOff>66675</xdr:rowOff>
    </xdr:from>
    <xdr:to>
      <xdr:col>2</xdr:col>
      <xdr:colOff>571500</xdr:colOff>
      <xdr:row>18</xdr:row>
      <xdr:rowOff>152400</xdr:rowOff>
    </xdr:to>
    <xdr:sp macro="" textlink="">
      <xdr:nvSpPr>
        <xdr:cNvPr id="2" name="Curved Up Arrow 1"/>
        <xdr:cNvSpPr/>
      </xdr:nvSpPr>
      <xdr:spPr>
        <a:xfrm>
          <a:off x="1514475" y="3714750"/>
          <a:ext cx="847725" cy="285750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28574</xdr:colOff>
      <xdr:row>17</xdr:row>
      <xdr:rowOff>104775</xdr:rowOff>
    </xdr:to>
    <xdr:sp macro="" textlink="">
      <xdr:nvSpPr>
        <xdr:cNvPr id="3" name="Rectangle 2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380999</xdr:colOff>
      <xdr:row>19</xdr:row>
      <xdr:rowOff>114300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304799</xdr:colOff>
      <xdr:row>19</xdr:row>
      <xdr:rowOff>57150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561974</xdr:colOff>
      <xdr:row>19</xdr:row>
      <xdr:rowOff>57150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276224</xdr:colOff>
      <xdr:row>19</xdr:row>
      <xdr:rowOff>114300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571499</xdr:colOff>
      <xdr:row>19</xdr:row>
      <xdr:rowOff>114300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552449</xdr:colOff>
      <xdr:row>19</xdr:row>
      <xdr:rowOff>114300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123824</xdr:colOff>
      <xdr:row>19</xdr:row>
      <xdr:rowOff>104775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30"/>
  <sheetViews>
    <sheetView tabSelected="1" zoomScale="91" zoomScaleNormal="91" workbookViewId="0">
      <selection activeCell="B25" sqref="B25"/>
    </sheetView>
  </sheetViews>
  <sheetFormatPr defaultRowHeight="15" x14ac:dyDescent="0.25"/>
  <cols>
    <col min="1" max="1" width="14.5703125" bestFit="1" customWidth="1"/>
    <col min="9" max="9" width="21.7109375" bestFit="1" customWidth="1"/>
    <col min="10" max="10" width="9.85546875" bestFit="1" customWidth="1"/>
    <col min="12" max="12" width="10.5703125" customWidth="1"/>
  </cols>
  <sheetData>
    <row r="3" spans="3:11" x14ac:dyDescent="0.25">
      <c r="I3" t="s">
        <v>0</v>
      </c>
    </row>
    <row r="4" spans="3:11" x14ac:dyDescent="0.25">
      <c r="K4" s="6" t="s">
        <v>2</v>
      </c>
    </row>
    <row r="6" spans="3:11" x14ac:dyDescent="0.25">
      <c r="I6" t="s">
        <v>1</v>
      </c>
    </row>
    <row r="8" spans="3:11" x14ac:dyDescent="0.25">
      <c r="F8" t="s">
        <v>3</v>
      </c>
    </row>
    <row r="10" spans="3:11" x14ac:dyDescent="0.25">
      <c r="I10" s="1" t="s">
        <v>4</v>
      </c>
    </row>
    <row r="15" spans="3:11" x14ac:dyDescent="0.25">
      <c r="C15" t="s">
        <v>5</v>
      </c>
      <c r="I15" t="s">
        <v>6</v>
      </c>
    </row>
    <row r="18" spans="1:21" x14ac:dyDescent="0.25">
      <c r="C18" t="s">
        <v>17</v>
      </c>
      <c r="G18" t="s">
        <v>7</v>
      </c>
      <c r="J18" t="s">
        <v>8</v>
      </c>
      <c r="N18" t="s">
        <v>9</v>
      </c>
      <c r="R18" t="s">
        <v>10</v>
      </c>
    </row>
    <row r="21" spans="1:21" x14ac:dyDescent="0.25">
      <c r="A21" t="s">
        <v>19</v>
      </c>
      <c r="B21" s="2" t="s">
        <v>11</v>
      </c>
      <c r="C21" s="2"/>
      <c r="D21" s="2" t="s">
        <v>16</v>
      </c>
      <c r="E21" s="2"/>
      <c r="F21" s="2" t="s">
        <v>11</v>
      </c>
      <c r="G21" s="2"/>
      <c r="H21" s="2" t="s">
        <v>12</v>
      </c>
      <c r="I21" s="3" t="s">
        <v>13</v>
      </c>
      <c r="J21" s="2"/>
      <c r="K21" s="2" t="s">
        <v>14</v>
      </c>
      <c r="L21" s="2"/>
      <c r="M21" s="3" t="s">
        <v>15</v>
      </c>
      <c r="N21" s="2"/>
      <c r="O21" s="2" t="s">
        <v>14</v>
      </c>
      <c r="P21" s="2"/>
      <c r="Q21" s="3" t="s">
        <v>15</v>
      </c>
      <c r="R21" s="2"/>
      <c r="S21" s="2" t="s">
        <v>16</v>
      </c>
    </row>
    <row r="24" spans="1:21" ht="15.75" x14ac:dyDescent="0.25">
      <c r="A24" s="7" t="s">
        <v>23</v>
      </c>
      <c r="B24" s="4"/>
      <c r="C24" s="4" t="s">
        <v>20</v>
      </c>
      <c r="D24" s="4"/>
      <c r="E24" s="4" t="s">
        <v>18</v>
      </c>
      <c r="F24" s="4"/>
      <c r="G24" s="4" t="s">
        <v>20</v>
      </c>
      <c r="H24" s="4"/>
      <c r="I24" s="4" t="s">
        <v>21</v>
      </c>
      <c r="J24" s="4" t="s">
        <v>20</v>
      </c>
      <c r="K24" s="4"/>
      <c r="L24" s="4" t="s">
        <v>21</v>
      </c>
      <c r="M24" s="4"/>
      <c r="N24" s="4"/>
      <c r="O24" s="4"/>
      <c r="P24" s="4"/>
      <c r="Q24" s="4"/>
      <c r="R24" s="4" t="s">
        <v>22</v>
      </c>
      <c r="S24" s="4"/>
      <c r="T24" s="4" t="s">
        <v>14</v>
      </c>
      <c r="U24" s="5"/>
    </row>
    <row r="29" spans="1:21" x14ac:dyDescent="0.25">
      <c r="D29" t="s">
        <v>24</v>
      </c>
      <c r="F29" t="s">
        <v>25</v>
      </c>
      <c r="H29" t="s">
        <v>26</v>
      </c>
      <c r="J29" s="8">
        <v>1000</v>
      </c>
      <c r="L29" t="s">
        <v>27</v>
      </c>
    </row>
    <row r="30" spans="1:21" x14ac:dyDescent="0.25">
      <c r="D30" t="s">
        <v>31</v>
      </c>
      <c r="H30" t="s">
        <v>30</v>
      </c>
      <c r="L30" t="s">
        <v>28</v>
      </c>
      <c r="M30" t="s">
        <v>29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2"/>
  <sheetViews>
    <sheetView workbookViewId="0">
      <selection activeCell="C22" sqref="C22"/>
    </sheetView>
  </sheetViews>
  <sheetFormatPr defaultRowHeight="15" x14ac:dyDescent="0.25"/>
  <cols>
    <col min="1" max="1" width="33.140625" bestFit="1" customWidth="1"/>
    <col min="2" max="2" width="11.5703125" bestFit="1" customWidth="1"/>
    <col min="3" max="3" width="13.140625" customWidth="1"/>
    <col min="5" max="5" width="16.7109375" customWidth="1"/>
    <col min="7" max="7" width="13.140625" customWidth="1"/>
    <col min="8" max="8" width="2.5703125" customWidth="1"/>
    <col min="9" max="9" width="14.140625" customWidth="1"/>
    <col min="10" max="10" width="14.42578125" customWidth="1"/>
    <col min="11" max="11" width="10.5703125" bestFit="1" customWidth="1"/>
    <col min="13" max="13" width="18.140625" bestFit="1" customWidth="1"/>
    <col min="15" max="15" width="10.5703125" bestFit="1" customWidth="1"/>
    <col min="16" max="16" width="12.28515625" bestFit="1" customWidth="1"/>
  </cols>
  <sheetData>
    <row r="2" spans="1:16" x14ac:dyDescent="0.25">
      <c r="A2" s="9" t="s">
        <v>176</v>
      </c>
    </row>
    <row r="4" spans="1:16" x14ac:dyDescent="0.25">
      <c r="A4" t="s">
        <v>177</v>
      </c>
      <c r="C4" t="s">
        <v>13</v>
      </c>
      <c r="D4" t="s">
        <v>181</v>
      </c>
      <c r="G4" s="49" t="s">
        <v>186</v>
      </c>
      <c r="H4" s="50" t="s">
        <v>57</v>
      </c>
      <c r="I4" s="51" t="s">
        <v>134</v>
      </c>
      <c r="J4" s="52" t="s">
        <v>59</v>
      </c>
      <c r="K4" s="53" t="s">
        <v>135</v>
      </c>
      <c r="L4" s="50" t="s">
        <v>61</v>
      </c>
      <c r="M4" s="49" t="s">
        <v>136</v>
      </c>
      <c r="N4" s="49"/>
      <c r="O4" s="49"/>
      <c r="P4" s="49"/>
    </row>
    <row r="5" spans="1:16" x14ac:dyDescent="0.25">
      <c r="A5" t="s">
        <v>178</v>
      </c>
      <c r="B5" s="8">
        <v>171320</v>
      </c>
      <c r="C5" t="s">
        <v>182</v>
      </c>
      <c r="D5" t="s">
        <v>183</v>
      </c>
      <c r="G5" s="49"/>
      <c r="H5" s="50" t="s">
        <v>57</v>
      </c>
      <c r="I5" s="54">
        <v>6</v>
      </c>
      <c r="J5" s="52" t="s">
        <v>59</v>
      </c>
      <c r="K5" s="55">
        <v>5.5</v>
      </c>
      <c r="L5" s="50" t="s">
        <v>61</v>
      </c>
      <c r="M5" s="58">
        <f>O5/0.5</f>
        <v>37680</v>
      </c>
      <c r="N5" s="50" t="s">
        <v>57</v>
      </c>
      <c r="O5" s="57">
        <v>18840</v>
      </c>
      <c r="P5" s="56" t="s">
        <v>41</v>
      </c>
    </row>
    <row r="6" spans="1:16" x14ac:dyDescent="0.25">
      <c r="A6" t="s">
        <v>179</v>
      </c>
      <c r="B6" s="8">
        <v>-10598</v>
      </c>
      <c r="G6" s="49"/>
      <c r="H6" s="49"/>
      <c r="I6" s="51"/>
      <c r="J6" s="49"/>
      <c r="K6" s="53"/>
      <c r="L6" s="49"/>
      <c r="M6" s="49" t="s">
        <v>187</v>
      </c>
      <c r="N6" s="49"/>
      <c r="O6" s="49"/>
      <c r="P6" s="49"/>
    </row>
    <row r="7" spans="1:16" x14ac:dyDescent="0.25">
      <c r="A7" t="s">
        <v>184</v>
      </c>
      <c r="B7" s="8">
        <v>8478</v>
      </c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6" x14ac:dyDescent="0.25">
      <c r="A8" t="s">
        <v>180</v>
      </c>
      <c r="B8" s="11">
        <f>SUM(B5:B7)</f>
        <v>169200</v>
      </c>
      <c r="C8" t="s">
        <v>183</v>
      </c>
      <c r="D8" t="s">
        <v>182</v>
      </c>
      <c r="G8" s="49" t="s">
        <v>188</v>
      </c>
      <c r="H8" s="50" t="s">
        <v>57</v>
      </c>
      <c r="I8" s="51" t="s">
        <v>141</v>
      </c>
      <c r="J8" s="52" t="s">
        <v>59</v>
      </c>
      <c r="K8" s="53" t="s">
        <v>142</v>
      </c>
      <c r="L8" s="50" t="s">
        <v>61</v>
      </c>
      <c r="M8" s="49" t="s">
        <v>189</v>
      </c>
      <c r="N8" s="49"/>
      <c r="O8" s="49"/>
      <c r="P8" s="49"/>
    </row>
    <row r="9" spans="1:16" x14ac:dyDescent="0.25">
      <c r="A9" t="s">
        <v>185</v>
      </c>
      <c r="B9" s="8">
        <f>6*12</f>
        <v>72</v>
      </c>
      <c r="G9" s="49"/>
      <c r="H9" s="50" t="s">
        <v>57</v>
      </c>
      <c r="I9" s="59">
        <f>37680-80</f>
        <v>37600</v>
      </c>
      <c r="J9" s="52" t="s">
        <v>59</v>
      </c>
      <c r="K9" s="62">
        <v>37680</v>
      </c>
      <c r="L9" s="50" t="s">
        <v>61</v>
      </c>
      <c r="M9" s="30">
        <v>6</v>
      </c>
      <c r="N9" s="50" t="s">
        <v>57</v>
      </c>
      <c r="O9" s="57">
        <v>480</v>
      </c>
      <c r="P9" s="56" t="s">
        <v>39</v>
      </c>
    </row>
    <row r="10" spans="1:16" x14ac:dyDescent="0.25">
      <c r="A10" t="s">
        <v>35</v>
      </c>
      <c r="B10" s="8">
        <f>B8/B9</f>
        <v>2350</v>
      </c>
      <c r="G10" s="49"/>
      <c r="H10" s="49"/>
      <c r="I10" s="51" t="s">
        <v>190</v>
      </c>
      <c r="J10" s="49"/>
      <c r="K10" s="53"/>
      <c r="L10" s="49"/>
      <c r="M10" s="49"/>
      <c r="N10" s="49"/>
      <c r="O10" s="49"/>
      <c r="P10" s="49"/>
    </row>
    <row r="11" spans="1:16" x14ac:dyDescent="0.25">
      <c r="I11">
        <v>80</v>
      </c>
      <c r="P11" s="11"/>
    </row>
    <row r="12" spans="1:16" x14ac:dyDescent="0.25">
      <c r="I12" s="8">
        <f>+I9/16</f>
        <v>2350</v>
      </c>
      <c r="J12" t="s">
        <v>191</v>
      </c>
    </row>
    <row r="14" spans="1:16" x14ac:dyDescent="0.25">
      <c r="A14" t="s">
        <v>192</v>
      </c>
    </row>
    <row r="15" spans="1:16" x14ac:dyDescent="0.25">
      <c r="A15" s="49" t="s">
        <v>64</v>
      </c>
      <c r="B15" s="50" t="s">
        <v>57</v>
      </c>
      <c r="C15" s="51" t="s">
        <v>155</v>
      </c>
      <c r="D15" s="52" t="s">
        <v>59</v>
      </c>
      <c r="E15" s="53" t="s">
        <v>66</v>
      </c>
      <c r="F15" s="50" t="s">
        <v>61</v>
      </c>
      <c r="G15" s="49" t="s">
        <v>153</v>
      </c>
      <c r="H15" s="49"/>
      <c r="I15" s="49"/>
    </row>
    <row r="16" spans="1:16" x14ac:dyDescent="0.25">
      <c r="A16" s="49"/>
      <c r="B16" s="50" t="s">
        <v>57</v>
      </c>
      <c r="C16" s="54">
        <f>2350*6</f>
        <v>14100</v>
      </c>
      <c r="D16" s="52" t="s">
        <v>59</v>
      </c>
      <c r="E16" s="61" t="s">
        <v>193</v>
      </c>
      <c r="F16" s="50" t="s">
        <v>61</v>
      </c>
      <c r="G16" s="56">
        <v>12</v>
      </c>
      <c r="H16" s="50" t="s">
        <v>57</v>
      </c>
      <c r="I16" s="60">
        <v>8478</v>
      </c>
      <c r="J16" t="s">
        <v>41</v>
      </c>
    </row>
    <row r="17" spans="1:10" x14ac:dyDescent="0.25">
      <c r="A17" s="49"/>
      <c r="B17" s="49"/>
      <c r="C17" s="51" t="s">
        <v>194</v>
      </c>
      <c r="D17" s="49"/>
      <c r="E17" s="62">
        <f>14100-706.5</f>
        <v>13393.5</v>
      </c>
      <c r="F17" s="49"/>
      <c r="G17" s="49"/>
      <c r="H17" s="49"/>
      <c r="I17" s="49"/>
    </row>
    <row r="18" spans="1:10" x14ac:dyDescent="0.25">
      <c r="D18" t="s">
        <v>195</v>
      </c>
      <c r="E18" s="8">
        <f>I16/G16</f>
        <v>706.5</v>
      </c>
      <c r="F18" t="s">
        <v>41</v>
      </c>
    </row>
    <row r="19" spans="1:10" x14ac:dyDescent="0.25">
      <c r="E19" t="s">
        <v>196</v>
      </c>
    </row>
    <row r="20" spans="1:10" x14ac:dyDescent="0.25">
      <c r="A20" t="s">
        <v>197</v>
      </c>
    </row>
    <row r="21" spans="1:10" x14ac:dyDescent="0.25">
      <c r="A21" s="49" t="s">
        <v>56</v>
      </c>
      <c r="B21" s="50" t="s">
        <v>57</v>
      </c>
      <c r="C21" s="51" t="s">
        <v>153</v>
      </c>
      <c r="D21" s="52" t="s">
        <v>59</v>
      </c>
      <c r="E21" s="53" t="s">
        <v>60</v>
      </c>
      <c r="F21" s="50" t="s">
        <v>61</v>
      </c>
      <c r="G21" s="49" t="s">
        <v>66</v>
      </c>
      <c r="H21" s="49"/>
      <c r="I21" s="49"/>
    </row>
    <row r="22" spans="1:10" x14ac:dyDescent="0.25">
      <c r="A22" s="49"/>
      <c r="B22" s="50" t="s">
        <v>57</v>
      </c>
      <c r="C22" s="54">
        <v>12</v>
      </c>
      <c r="D22" s="52" t="s">
        <v>59</v>
      </c>
      <c r="E22" s="64" t="s">
        <v>193</v>
      </c>
      <c r="F22" s="50" t="s">
        <v>61</v>
      </c>
      <c r="G22" s="56">
        <v>13393.5</v>
      </c>
      <c r="H22" s="50" t="s">
        <v>57</v>
      </c>
      <c r="I22" s="60">
        <v>10598</v>
      </c>
      <c r="J22" t="s">
        <v>39</v>
      </c>
    </row>
    <row r="23" spans="1:10" x14ac:dyDescent="0.25">
      <c r="A23" s="49"/>
      <c r="B23" s="49"/>
      <c r="C23" s="51"/>
      <c r="D23" s="49"/>
      <c r="E23" s="62">
        <f>C22+F25</f>
        <v>12.791279351924441</v>
      </c>
      <c r="F23" s="49"/>
      <c r="G23" s="49"/>
      <c r="H23" s="49"/>
      <c r="I23" s="49"/>
    </row>
    <row r="24" spans="1:10" x14ac:dyDescent="0.25">
      <c r="A24" s="49"/>
      <c r="B24" s="49"/>
      <c r="C24" s="51"/>
      <c r="D24" s="49"/>
      <c r="E24" s="63" t="s">
        <v>199</v>
      </c>
      <c r="F24" s="49"/>
      <c r="G24" s="49"/>
      <c r="H24" s="49"/>
      <c r="I24" s="49"/>
    </row>
    <row r="25" spans="1:10" x14ac:dyDescent="0.25">
      <c r="E25" s="8" t="s">
        <v>198</v>
      </c>
      <c r="F25">
        <f>I22/G22</f>
        <v>0.79127935192444099</v>
      </c>
      <c r="G25" t="s">
        <v>39</v>
      </c>
    </row>
    <row r="26" spans="1:10" x14ac:dyDescent="0.25">
      <c r="A26" t="s">
        <v>200</v>
      </c>
    </row>
    <row r="28" spans="1:10" x14ac:dyDescent="0.25">
      <c r="A28" s="49" t="s">
        <v>188</v>
      </c>
      <c r="B28" s="50" t="s">
        <v>57</v>
      </c>
      <c r="C28" s="51" t="s">
        <v>141</v>
      </c>
      <c r="D28" s="52" t="s">
        <v>59</v>
      </c>
      <c r="E28" s="53" t="s">
        <v>142</v>
      </c>
      <c r="F28" s="50" t="s">
        <v>61</v>
      </c>
      <c r="G28" s="49" t="s">
        <v>189</v>
      </c>
      <c r="H28" s="49"/>
      <c r="I28" s="49"/>
      <c r="J28" s="49"/>
    </row>
    <row r="29" spans="1:10" x14ac:dyDescent="0.25">
      <c r="A29" s="49"/>
      <c r="B29" s="50" t="s">
        <v>57</v>
      </c>
      <c r="C29" s="59">
        <f>37680-80</f>
        <v>37600</v>
      </c>
      <c r="D29" s="52" t="s">
        <v>59</v>
      </c>
      <c r="E29" s="62">
        <v>37680</v>
      </c>
      <c r="F29" s="50" t="s">
        <v>61</v>
      </c>
      <c r="G29" s="30">
        <v>6</v>
      </c>
      <c r="H29" s="50" t="s">
        <v>57</v>
      </c>
      <c r="I29" s="57">
        <v>480</v>
      </c>
      <c r="J29" s="56" t="s">
        <v>39</v>
      </c>
    </row>
    <row r="30" spans="1:10" x14ac:dyDescent="0.25">
      <c r="A30" s="49"/>
      <c r="B30" s="49"/>
      <c r="C30" s="51" t="s">
        <v>190</v>
      </c>
      <c r="D30" s="49"/>
      <c r="E30" s="53"/>
      <c r="F30" s="49"/>
      <c r="G30" s="49"/>
      <c r="H30" s="49"/>
      <c r="I30" s="49"/>
      <c r="J30" s="49"/>
    </row>
    <row r="31" spans="1:10" x14ac:dyDescent="0.25">
      <c r="C31">
        <v>80</v>
      </c>
      <c r="J31" s="11"/>
    </row>
    <row r="32" spans="1:10" x14ac:dyDescent="0.25">
      <c r="C32" s="8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0"/>
  <sheetViews>
    <sheetView workbookViewId="0">
      <selection activeCell="B22" sqref="B22"/>
    </sheetView>
  </sheetViews>
  <sheetFormatPr defaultRowHeight="15" x14ac:dyDescent="0.25"/>
  <cols>
    <col min="1" max="1" width="24.85546875" customWidth="1"/>
    <col min="2" max="2" width="14" customWidth="1"/>
    <col min="3" max="3" width="15" customWidth="1"/>
    <col min="4" max="4" width="10.42578125" customWidth="1"/>
    <col min="5" max="5" width="9.42578125" customWidth="1"/>
    <col min="6" max="6" width="12.28515625" customWidth="1"/>
    <col min="7" max="7" width="9.85546875" customWidth="1"/>
    <col min="8" max="8" width="3.85546875" customWidth="1"/>
    <col min="9" max="9" width="11.28515625" bestFit="1" customWidth="1"/>
  </cols>
  <sheetData>
    <row r="2" spans="1:7" x14ac:dyDescent="0.25">
      <c r="A2" t="s">
        <v>201</v>
      </c>
    </row>
    <row r="3" spans="1:7" x14ac:dyDescent="0.25">
      <c r="A3" s="6" t="s">
        <v>202</v>
      </c>
      <c r="C3" t="s">
        <v>207</v>
      </c>
      <c r="F3" t="s">
        <v>211</v>
      </c>
      <c r="G3" t="s">
        <v>212</v>
      </c>
    </row>
    <row r="4" spans="1:7" x14ac:dyDescent="0.25">
      <c r="A4" t="s">
        <v>203</v>
      </c>
      <c r="C4" s="65" t="s">
        <v>208</v>
      </c>
      <c r="F4" t="s">
        <v>213</v>
      </c>
      <c r="G4" t="s">
        <v>214</v>
      </c>
    </row>
    <row r="5" spans="1:7" x14ac:dyDescent="0.25">
      <c r="A5" t="s">
        <v>204</v>
      </c>
      <c r="C5" s="65" t="s">
        <v>209</v>
      </c>
    </row>
    <row r="6" spans="1:7" x14ac:dyDescent="0.25">
      <c r="A6" t="s">
        <v>205</v>
      </c>
      <c r="C6" s="65" t="s">
        <v>210</v>
      </c>
    </row>
    <row r="7" spans="1:7" x14ac:dyDescent="0.25">
      <c r="A7" t="s">
        <v>206</v>
      </c>
      <c r="C7" t="s">
        <v>205</v>
      </c>
    </row>
    <row r="8" spans="1:7" x14ac:dyDescent="0.25">
      <c r="C8" t="s">
        <v>203</v>
      </c>
    </row>
    <row r="9" spans="1:7" x14ac:dyDescent="0.25">
      <c r="A9" t="s">
        <v>215</v>
      </c>
    </row>
    <row r="10" spans="1:7" x14ac:dyDescent="0.25">
      <c r="A10" t="s">
        <v>11</v>
      </c>
      <c r="C10" t="s">
        <v>216</v>
      </c>
    </row>
    <row r="11" spans="1:7" x14ac:dyDescent="0.25">
      <c r="A11" t="s">
        <v>12</v>
      </c>
      <c r="C11" t="s">
        <v>11</v>
      </c>
    </row>
    <row r="12" spans="1:7" x14ac:dyDescent="0.25">
      <c r="C12" t="s">
        <v>12</v>
      </c>
    </row>
    <row r="13" spans="1:7" x14ac:dyDescent="0.25">
      <c r="C13" t="s">
        <v>20</v>
      </c>
    </row>
    <row r="14" spans="1:7" x14ac:dyDescent="0.25">
      <c r="C14" t="s">
        <v>21</v>
      </c>
    </row>
    <row r="17" spans="1:10" x14ac:dyDescent="0.25">
      <c r="A17" s="49" t="s">
        <v>188</v>
      </c>
      <c r="B17" s="50" t="s">
        <v>57</v>
      </c>
      <c r="C17" s="51" t="s">
        <v>141</v>
      </c>
      <c r="D17" s="52" t="s">
        <v>59</v>
      </c>
      <c r="E17" s="53" t="s">
        <v>142</v>
      </c>
      <c r="F17" s="50" t="s">
        <v>61</v>
      </c>
      <c r="G17" s="49" t="s">
        <v>189</v>
      </c>
      <c r="H17" s="49"/>
      <c r="I17" s="49"/>
      <c r="J17" s="49"/>
    </row>
    <row r="18" spans="1:10" x14ac:dyDescent="0.25">
      <c r="A18" s="49" t="s">
        <v>217</v>
      </c>
      <c r="B18" s="50" t="s">
        <v>57</v>
      </c>
      <c r="C18" s="82">
        <f>80*5</f>
        <v>400</v>
      </c>
      <c r="D18" s="83" t="s">
        <v>59</v>
      </c>
      <c r="E18" s="84">
        <v>500</v>
      </c>
      <c r="F18" s="66" t="s">
        <v>61</v>
      </c>
      <c r="G18" s="30">
        <v>200</v>
      </c>
      <c r="H18" s="66" t="s">
        <v>57</v>
      </c>
      <c r="I18" s="57">
        <f>(E18-C18)*G18</f>
        <v>20000</v>
      </c>
      <c r="J18" s="30" t="s">
        <v>39</v>
      </c>
    </row>
    <row r="19" spans="1:10" x14ac:dyDescent="0.25">
      <c r="A19" s="49"/>
      <c r="B19" s="49"/>
      <c r="C19" s="67" t="s">
        <v>218</v>
      </c>
      <c r="D19" s="29"/>
      <c r="E19" s="68"/>
      <c r="F19" s="29"/>
      <c r="G19" s="29"/>
      <c r="H19" s="29"/>
      <c r="I19" s="29"/>
      <c r="J19" s="29"/>
    </row>
    <row r="20" spans="1:10" x14ac:dyDescent="0.25">
      <c r="A20" t="s">
        <v>219</v>
      </c>
      <c r="B20" s="50" t="s">
        <v>57</v>
      </c>
      <c r="C20" s="85">
        <f>80*10</f>
        <v>800</v>
      </c>
      <c r="D20" s="86" t="s">
        <v>59</v>
      </c>
      <c r="E20" s="87">
        <v>730</v>
      </c>
      <c r="F20" s="66" t="s">
        <v>61</v>
      </c>
      <c r="G20" s="30">
        <v>300</v>
      </c>
      <c r="H20" s="66" t="s">
        <v>57</v>
      </c>
      <c r="I20" s="57">
        <f>(C20-E20)*G20</f>
        <v>21000</v>
      </c>
      <c r="J20" s="30" t="s">
        <v>41</v>
      </c>
    </row>
    <row r="21" spans="1:10" x14ac:dyDescent="0.25">
      <c r="C21" s="67" t="s">
        <v>220</v>
      </c>
      <c r="D21" s="29"/>
      <c r="E21" s="68"/>
      <c r="F21" s="29"/>
      <c r="G21" s="29"/>
      <c r="H21" s="29"/>
      <c r="I21" s="29"/>
      <c r="J21" s="29"/>
    </row>
    <row r="22" spans="1:10" ht="15.75" thickBot="1" x14ac:dyDescent="0.3">
      <c r="I22" s="21">
        <f>I20-I18</f>
        <v>1000</v>
      </c>
      <c r="J22" s="12" t="s">
        <v>41</v>
      </c>
    </row>
    <row r="23" spans="1:10" ht="15.75" thickTop="1" x14ac:dyDescent="0.25">
      <c r="A23" s="9" t="s">
        <v>221</v>
      </c>
      <c r="D23" s="9"/>
      <c r="E23" s="9"/>
      <c r="F23" s="9"/>
    </row>
    <row r="24" spans="1:10" ht="30" x14ac:dyDescent="0.25">
      <c r="A24" s="71" t="s">
        <v>25</v>
      </c>
      <c r="B24" s="72" t="s">
        <v>222</v>
      </c>
      <c r="C24" s="72" t="s">
        <v>223</v>
      </c>
      <c r="D24" s="75" t="s">
        <v>224</v>
      </c>
      <c r="E24" s="73" t="s">
        <v>189</v>
      </c>
      <c r="F24" s="71" t="s">
        <v>225</v>
      </c>
    </row>
    <row r="25" spans="1:10" x14ac:dyDescent="0.25">
      <c r="A25" t="s">
        <v>217</v>
      </c>
      <c r="B25" s="8">
        <v>500</v>
      </c>
      <c r="C25" s="8">
        <f>1230*5/15</f>
        <v>410</v>
      </c>
      <c r="D25" s="80" t="s">
        <v>228</v>
      </c>
      <c r="E25" s="8">
        <v>200</v>
      </c>
      <c r="F25" s="8">
        <f>200*90</f>
        <v>18000</v>
      </c>
      <c r="G25" s="8" t="s">
        <v>39</v>
      </c>
    </row>
    <row r="26" spans="1:10" x14ac:dyDescent="0.25">
      <c r="B26" s="8"/>
      <c r="C26" s="76" t="s">
        <v>226</v>
      </c>
      <c r="E26" s="8"/>
      <c r="G26" s="8"/>
    </row>
    <row r="27" spans="1:10" x14ac:dyDescent="0.25">
      <c r="A27" t="s">
        <v>219</v>
      </c>
      <c r="B27" s="8">
        <v>730</v>
      </c>
      <c r="C27" s="26">
        <f>1230/15*10</f>
        <v>820</v>
      </c>
      <c r="D27" s="88" t="s">
        <v>229</v>
      </c>
      <c r="E27" s="8">
        <v>300</v>
      </c>
      <c r="F27" s="8">
        <f>300*90</f>
        <v>27000</v>
      </c>
      <c r="G27" s="8" t="s">
        <v>41</v>
      </c>
    </row>
    <row r="28" spans="1:10" x14ac:dyDescent="0.25">
      <c r="C28" s="77" t="s">
        <v>227</v>
      </c>
      <c r="G28" s="8"/>
    </row>
    <row r="29" spans="1:10" ht="15.75" thickBot="1" x14ac:dyDescent="0.3">
      <c r="B29" s="70">
        <f>SUM(B25:B28)</f>
        <v>1230</v>
      </c>
      <c r="C29" s="70">
        <f>B29</f>
        <v>1230</v>
      </c>
      <c r="D29" s="25">
        <v>0</v>
      </c>
      <c r="F29" s="21">
        <f>F27-F25</f>
        <v>9000</v>
      </c>
      <c r="G29" s="14" t="s">
        <v>41</v>
      </c>
    </row>
    <row r="30" spans="1:10" ht="15.75" thickTop="1" x14ac:dyDescent="0.25">
      <c r="G30" s="8"/>
    </row>
    <row r="31" spans="1:10" x14ac:dyDescent="0.25">
      <c r="G31" s="8"/>
    </row>
    <row r="32" spans="1:10" x14ac:dyDescent="0.25">
      <c r="G32" s="8"/>
    </row>
    <row r="33" spans="1:7" x14ac:dyDescent="0.25">
      <c r="A33" s="9" t="s">
        <v>230</v>
      </c>
      <c r="D33" s="9"/>
      <c r="E33" s="9"/>
      <c r="F33" s="9"/>
      <c r="G33" s="8"/>
    </row>
    <row r="34" spans="1:7" ht="30" x14ac:dyDescent="0.25">
      <c r="A34" s="71" t="s">
        <v>25</v>
      </c>
      <c r="B34" s="72" t="s">
        <v>231</v>
      </c>
      <c r="C34" s="72" t="s">
        <v>223</v>
      </c>
      <c r="D34" s="75" t="s">
        <v>224</v>
      </c>
      <c r="E34" s="73" t="s">
        <v>189</v>
      </c>
      <c r="F34" s="71" t="s">
        <v>225</v>
      </c>
      <c r="G34" s="8"/>
    </row>
    <row r="35" spans="1:7" x14ac:dyDescent="0.25">
      <c r="A35" t="s">
        <v>217</v>
      </c>
      <c r="B35" s="8">
        <f>80*5</f>
        <v>400</v>
      </c>
      <c r="C35" s="8">
        <f>1230*5/15</f>
        <v>410</v>
      </c>
      <c r="D35" s="81" t="s">
        <v>232</v>
      </c>
      <c r="E35" s="8">
        <v>200</v>
      </c>
      <c r="F35" s="8">
        <f>10*200</f>
        <v>2000</v>
      </c>
      <c r="G35" s="8" t="s">
        <v>39</v>
      </c>
    </row>
    <row r="36" spans="1:7" x14ac:dyDescent="0.25">
      <c r="B36" s="78" t="s">
        <v>218</v>
      </c>
      <c r="C36" s="76" t="s">
        <v>226</v>
      </c>
      <c r="D36" s="26"/>
      <c r="E36" s="8"/>
      <c r="G36" s="8"/>
    </row>
    <row r="37" spans="1:7" x14ac:dyDescent="0.25">
      <c r="A37" t="s">
        <v>219</v>
      </c>
      <c r="B37" s="26">
        <f>80*10</f>
        <v>800</v>
      </c>
      <c r="C37" s="26">
        <f>1230/15*10</f>
        <v>820</v>
      </c>
      <c r="D37" s="89" t="s">
        <v>233</v>
      </c>
      <c r="E37" s="8">
        <v>300</v>
      </c>
      <c r="F37" s="8">
        <f>20*300</f>
        <v>6000</v>
      </c>
      <c r="G37" s="8" t="s">
        <v>39</v>
      </c>
    </row>
    <row r="38" spans="1:7" x14ac:dyDescent="0.25">
      <c r="B38" s="3" t="s">
        <v>220</v>
      </c>
      <c r="C38" s="77" t="s">
        <v>227</v>
      </c>
      <c r="D38" s="26"/>
      <c r="G38" s="8"/>
    </row>
    <row r="39" spans="1:7" ht="15.75" thickBot="1" x14ac:dyDescent="0.3">
      <c r="B39" s="70">
        <f>SUM(B35:B38)</f>
        <v>1200</v>
      </c>
      <c r="C39" s="70">
        <f>C35+C37</f>
        <v>1230</v>
      </c>
      <c r="D39" s="79" t="s">
        <v>234</v>
      </c>
      <c r="F39" s="21">
        <f>SUM(F35:F38)</f>
        <v>8000</v>
      </c>
      <c r="G39" s="14" t="s">
        <v>39</v>
      </c>
    </row>
    <row r="40" spans="1:7" ht="15.75" thickTop="1" x14ac:dyDescent="0.25"/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3"/>
  <sheetViews>
    <sheetView workbookViewId="0">
      <selection activeCell="D22" sqref="D22"/>
    </sheetView>
  </sheetViews>
  <sheetFormatPr defaultRowHeight="15" x14ac:dyDescent="0.25"/>
  <cols>
    <col min="1" max="1" width="20.85546875" bestFit="1" customWidth="1"/>
    <col min="2" max="2" width="9.5703125" bestFit="1" customWidth="1"/>
    <col min="3" max="3" width="13.28515625" bestFit="1" customWidth="1"/>
    <col min="5" max="5" width="13.28515625" bestFit="1" customWidth="1"/>
    <col min="6" max="6" width="11.85546875" customWidth="1"/>
    <col min="7" max="7" width="9.5703125" bestFit="1" customWidth="1"/>
    <col min="9" max="9" width="11.5703125" bestFit="1" customWidth="1"/>
    <col min="12" max="12" width="17" customWidth="1"/>
    <col min="13" max="13" width="15.140625" customWidth="1"/>
  </cols>
  <sheetData>
    <row r="2" spans="1:10" x14ac:dyDescent="0.25">
      <c r="A2" s="9" t="s">
        <v>235</v>
      </c>
    </row>
    <row r="4" spans="1:10" x14ac:dyDescent="0.25">
      <c r="A4" s="49" t="s">
        <v>236</v>
      </c>
      <c r="B4" s="50" t="s">
        <v>57</v>
      </c>
      <c r="C4" s="51" t="s">
        <v>149</v>
      </c>
      <c r="D4" s="52" t="s">
        <v>59</v>
      </c>
      <c r="E4" s="53" t="s">
        <v>150</v>
      </c>
      <c r="F4" s="50"/>
      <c r="G4" s="49"/>
      <c r="H4" s="49"/>
      <c r="I4" s="49"/>
    </row>
    <row r="5" spans="1:10" x14ac:dyDescent="0.25">
      <c r="A5" s="49" t="s">
        <v>237</v>
      </c>
      <c r="B5" s="50" t="s">
        <v>57</v>
      </c>
      <c r="C5" s="54">
        <f>500*3*200</f>
        <v>300000</v>
      </c>
      <c r="D5" s="52" t="s">
        <v>59</v>
      </c>
      <c r="E5" s="55">
        <v>410000</v>
      </c>
      <c r="F5" s="49"/>
      <c r="G5" s="49"/>
      <c r="H5" s="50" t="s">
        <v>57</v>
      </c>
      <c r="I5" s="57">
        <f>E5-C5</f>
        <v>110000</v>
      </c>
      <c r="J5" t="s">
        <v>39</v>
      </c>
    </row>
    <row r="6" spans="1:10" x14ac:dyDescent="0.25">
      <c r="A6" s="49"/>
      <c r="B6" s="49"/>
      <c r="C6" s="51" t="s">
        <v>239</v>
      </c>
      <c r="D6" s="49"/>
      <c r="E6" s="53"/>
      <c r="F6" s="49"/>
      <c r="G6" s="49"/>
      <c r="H6" s="49"/>
      <c r="I6" s="49"/>
    </row>
    <row r="7" spans="1:10" x14ac:dyDescent="0.25">
      <c r="A7" s="29" t="s">
        <v>238</v>
      </c>
      <c r="B7" s="50" t="s">
        <v>57</v>
      </c>
      <c r="C7" s="56">
        <f>500*5*360</f>
        <v>900000</v>
      </c>
      <c r="D7" s="52" t="s">
        <v>59</v>
      </c>
      <c r="E7" s="56">
        <v>960000</v>
      </c>
      <c r="F7" s="49"/>
      <c r="G7" s="49"/>
      <c r="H7" s="50" t="s">
        <v>57</v>
      </c>
      <c r="I7" s="60">
        <f>E7-C7</f>
        <v>60000</v>
      </c>
      <c r="J7" t="s">
        <v>39</v>
      </c>
    </row>
    <row r="8" spans="1:10" x14ac:dyDescent="0.25">
      <c r="C8" t="s">
        <v>240</v>
      </c>
    </row>
    <row r="9" spans="1:10" ht="15.75" thickBot="1" x14ac:dyDescent="0.3">
      <c r="I9" s="74">
        <f>SUM(I5:I8)</f>
        <v>170000</v>
      </c>
      <c r="J9" s="2" t="s">
        <v>39</v>
      </c>
    </row>
    <row r="10" spans="1:10" ht="15.75" thickTop="1" x14ac:dyDescent="0.25">
      <c r="I10" s="90"/>
      <c r="J10" s="2"/>
    </row>
    <row r="11" spans="1:10" x14ac:dyDescent="0.25">
      <c r="A11" t="s">
        <v>241</v>
      </c>
      <c r="B11" s="19" t="s">
        <v>57</v>
      </c>
      <c r="C11" t="s">
        <v>134</v>
      </c>
      <c r="D11" s="20" t="s">
        <v>59</v>
      </c>
      <c r="E11" t="s">
        <v>135</v>
      </c>
      <c r="F11" s="19" t="s">
        <v>61</v>
      </c>
      <c r="G11" t="s">
        <v>142</v>
      </c>
    </row>
    <row r="12" spans="1:10" x14ac:dyDescent="0.25">
      <c r="A12" s="49" t="s">
        <v>237</v>
      </c>
      <c r="B12" s="19" t="s">
        <v>57</v>
      </c>
      <c r="C12" s="8">
        <v>200</v>
      </c>
      <c r="D12" s="20" t="s">
        <v>59</v>
      </c>
      <c r="E12" s="8">
        <f>410000/2000</f>
        <v>205</v>
      </c>
      <c r="F12" s="19" t="s">
        <v>61</v>
      </c>
      <c r="G12" s="8">
        <v>2000</v>
      </c>
      <c r="H12" s="19" t="s">
        <v>57</v>
      </c>
      <c r="I12" s="11">
        <f>(E12-C12)*G12</f>
        <v>10000</v>
      </c>
      <c r="J12" s="8" t="s">
        <v>39</v>
      </c>
    </row>
    <row r="13" spans="1:10" x14ac:dyDescent="0.25">
      <c r="D13" s="1"/>
      <c r="E13" s="2" t="s">
        <v>242</v>
      </c>
      <c r="J13" s="8"/>
    </row>
    <row r="14" spans="1:10" x14ac:dyDescent="0.25">
      <c r="A14" s="29" t="s">
        <v>238</v>
      </c>
      <c r="B14" s="19" t="s">
        <v>57</v>
      </c>
      <c r="C14" s="8">
        <v>360</v>
      </c>
      <c r="D14" s="20" t="s">
        <v>59</v>
      </c>
      <c r="E14" s="8">
        <f>960000/2400</f>
        <v>400</v>
      </c>
      <c r="F14" s="19" t="s">
        <v>61</v>
      </c>
      <c r="G14" s="8">
        <v>2400</v>
      </c>
      <c r="H14" s="19" t="s">
        <v>57</v>
      </c>
      <c r="I14" s="11">
        <f>(E14-C14)*G14</f>
        <v>96000</v>
      </c>
      <c r="J14" s="8" t="s">
        <v>39</v>
      </c>
    </row>
    <row r="15" spans="1:10" x14ac:dyDescent="0.25">
      <c r="E15" s="2" t="s">
        <v>243</v>
      </c>
    </row>
    <row r="16" spans="1:10" ht="15.75" thickBot="1" x14ac:dyDescent="0.3">
      <c r="I16" s="74">
        <f>SUM(I12:I15)</f>
        <v>106000</v>
      </c>
      <c r="J16" s="2" t="s">
        <v>39</v>
      </c>
    </row>
    <row r="17" spans="1:14" ht="15.75" thickTop="1" x14ac:dyDescent="0.25"/>
    <row r="18" spans="1:14" x14ac:dyDescent="0.25">
      <c r="A18" t="s">
        <v>244</v>
      </c>
      <c r="B18" s="19" t="s">
        <v>57</v>
      </c>
      <c r="C18" t="s">
        <v>141</v>
      </c>
      <c r="D18" s="20" t="s">
        <v>59</v>
      </c>
      <c r="E18" t="s">
        <v>142</v>
      </c>
      <c r="F18" s="19" t="s">
        <v>61</v>
      </c>
      <c r="G18" t="s">
        <v>134</v>
      </c>
    </row>
    <row r="19" spans="1:14" x14ac:dyDescent="0.25">
      <c r="A19" s="49" t="s">
        <v>237</v>
      </c>
      <c r="B19" s="19" t="s">
        <v>57</v>
      </c>
      <c r="C19" s="8">
        <f>500*3</f>
        <v>1500</v>
      </c>
      <c r="D19" s="20" t="s">
        <v>59</v>
      </c>
      <c r="E19" s="8">
        <v>2000</v>
      </c>
      <c r="F19" s="19" t="s">
        <v>61</v>
      </c>
      <c r="G19" s="8">
        <v>200</v>
      </c>
      <c r="H19" s="19" t="s">
        <v>57</v>
      </c>
      <c r="I19" s="11">
        <f>(E19-C19)*G19</f>
        <v>100000</v>
      </c>
      <c r="J19" s="8" t="s">
        <v>39</v>
      </c>
    </row>
    <row r="20" spans="1:14" x14ac:dyDescent="0.25">
      <c r="C20" s="3" t="s">
        <v>245</v>
      </c>
    </row>
    <row r="21" spans="1:14" x14ac:dyDescent="0.25">
      <c r="A21" t="s">
        <v>238</v>
      </c>
      <c r="B21" s="19" t="s">
        <v>57</v>
      </c>
      <c r="C21" s="26">
        <f>500*5</f>
        <v>2500</v>
      </c>
      <c r="D21" s="20" t="s">
        <v>59</v>
      </c>
      <c r="E21" s="8">
        <v>2400</v>
      </c>
      <c r="F21" s="19" t="s">
        <v>61</v>
      </c>
      <c r="G21" s="8">
        <v>360</v>
      </c>
      <c r="H21" s="19" t="s">
        <v>57</v>
      </c>
      <c r="I21" s="11">
        <f>(C21-E21)*G21</f>
        <v>36000</v>
      </c>
      <c r="J21" s="8" t="s">
        <v>41</v>
      </c>
    </row>
    <row r="22" spans="1:14" x14ac:dyDescent="0.25">
      <c r="C22" s="3" t="s">
        <v>246</v>
      </c>
    </row>
    <row r="23" spans="1:14" ht="15.75" thickBot="1" x14ac:dyDescent="0.3">
      <c r="I23" s="74">
        <f>I19-I21</f>
        <v>64000</v>
      </c>
      <c r="J23" s="2" t="s">
        <v>39</v>
      </c>
    </row>
    <row r="24" spans="1:14" ht="15.75" thickTop="1" x14ac:dyDescent="0.25"/>
    <row r="25" spans="1:14" x14ac:dyDescent="0.25">
      <c r="A25" s="9" t="s">
        <v>221</v>
      </c>
      <c r="D25" s="9"/>
      <c r="E25" s="9"/>
      <c r="F25" s="9"/>
      <c r="L25" t="s">
        <v>255</v>
      </c>
    </row>
    <row r="26" spans="1:14" ht="30" x14ac:dyDescent="0.25">
      <c r="A26" s="97" t="s">
        <v>25</v>
      </c>
      <c r="B26" s="98" t="s">
        <v>222</v>
      </c>
      <c r="C26" s="98" t="s">
        <v>223</v>
      </c>
      <c r="D26" s="99" t="s">
        <v>224</v>
      </c>
      <c r="E26" s="100" t="s">
        <v>189</v>
      </c>
      <c r="F26" s="97" t="s">
        <v>225</v>
      </c>
      <c r="L26" s="3" t="s">
        <v>256</v>
      </c>
    </row>
    <row r="27" spans="1:14" x14ac:dyDescent="0.25">
      <c r="A27" t="s">
        <v>237</v>
      </c>
      <c r="B27" s="91">
        <v>2000</v>
      </c>
      <c r="C27" s="91">
        <f>4400*3/8</f>
        <v>1650</v>
      </c>
      <c r="D27" s="92" t="s">
        <v>249</v>
      </c>
      <c r="E27" s="91">
        <v>200</v>
      </c>
      <c r="F27" s="91">
        <f>350*200</f>
        <v>70000</v>
      </c>
      <c r="G27" s="91" t="s">
        <v>39</v>
      </c>
    </row>
    <row r="28" spans="1:14" x14ac:dyDescent="0.25">
      <c r="B28" s="91"/>
      <c r="C28" s="93" t="s">
        <v>247</v>
      </c>
      <c r="D28" s="69"/>
      <c r="E28" s="91"/>
      <c r="F28" s="69"/>
      <c r="G28" s="91"/>
    </row>
    <row r="29" spans="1:14" x14ac:dyDescent="0.25">
      <c r="A29" t="s">
        <v>238</v>
      </c>
      <c r="B29" s="91">
        <v>2400</v>
      </c>
      <c r="C29" s="94">
        <f>4400*5/8</f>
        <v>2750</v>
      </c>
      <c r="D29" s="95" t="s">
        <v>250</v>
      </c>
      <c r="E29" s="91">
        <v>360</v>
      </c>
      <c r="F29" s="91">
        <f>350*360</f>
        <v>126000</v>
      </c>
      <c r="G29" s="91" t="s">
        <v>41</v>
      </c>
      <c r="K29" s="103" t="s">
        <v>11</v>
      </c>
      <c r="L29" s="103"/>
      <c r="M29" s="103" t="s">
        <v>12</v>
      </c>
      <c r="N29" s="3"/>
    </row>
    <row r="30" spans="1:14" x14ac:dyDescent="0.25">
      <c r="B30" s="69"/>
      <c r="C30" s="96" t="s">
        <v>248</v>
      </c>
      <c r="D30" s="69"/>
      <c r="E30" s="69"/>
      <c r="F30" s="69"/>
      <c r="G30" s="91"/>
      <c r="K30" s="2" t="s">
        <v>257</v>
      </c>
      <c r="M30" s="3" t="s">
        <v>258</v>
      </c>
    </row>
    <row r="31" spans="1:14" ht="15.75" thickBot="1" x14ac:dyDescent="0.3">
      <c r="B31" s="70">
        <f>SUM(B27:B30)</f>
        <v>4400</v>
      </c>
      <c r="C31" s="70">
        <f>B31</f>
        <v>4400</v>
      </c>
      <c r="D31" s="25">
        <v>0</v>
      </c>
      <c r="F31" s="21">
        <f>F29-F27</f>
        <v>56000</v>
      </c>
      <c r="G31" s="14" t="s">
        <v>41</v>
      </c>
    </row>
    <row r="32" spans="1:14" ht="16.5" thickTop="1" x14ac:dyDescent="0.25">
      <c r="G32" s="8"/>
      <c r="K32" s="4"/>
      <c r="L32" s="104" t="s">
        <v>20</v>
      </c>
      <c r="M32" s="104"/>
      <c r="N32" s="104" t="s">
        <v>21</v>
      </c>
    </row>
    <row r="33" spans="1:14" x14ac:dyDescent="0.25">
      <c r="G33" s="8"/>
      <c r="L33" s="2" t="s">
        <v>259</v>
      </c>
      <c r="N33" s="2" t="s">
        <v>260</v>
      </c>
    </row>
    <row r="35" spans="1:14" x14ac:dyDescent="0.25">
      <c r="A35" s="9" t="s">
        <v>230</v>
      </c>
      <c r="D35" s="9"/>
      <c r="E35" s="9"/>
      <c r="F35" s="9"/>
    </row>
    <row r="36" spans="1:14" ht="30" x14ac:dyDescent="0.25">
      <c r="A36" s="97" t="s">
        <v>25</v>
      </c>
      <c r="B36" s="98" t="s">
        <v>231</v>
      </c>
      <c r="C36" s="98" t="s">
        <v>223</v>
      </c>
      <c r="D36" s="99" t="s">
        <v>224</v>
      </c>
      <c r="E36" s="100" t="s">
        <v>189</v>
      </c>
      <c r="F36" s="97" t="s">
        <v>225</v>
      </c>
    </row>
    <row r="37" spans="1:14" x14ac:dyDescent="0.25">
      <c r="A37" t="s">
        <v>237</v>
      </c>
      <c r="B37" s="94">
        <f>500*3</f>
        <v>1500</v>
      </c>
      <c r="C37" s="91">
        <f>4400*3/8</f>
        <v>1650</v>
      </c>
      <c r="D37" s="94" t="s">
        <v>251</v>
      </c>
      <c r="E37" s="91">
        <v>200</v>
      </c>
      <c r="F37" s="91">
        <f>150*200</f>
        <v>30000</v>
      </c>
      <c r="G37" s="91" t="s">
        <v>39</v>
      </c>
    </row>
    <row r="38" spans="1:14" x14ac:dyDescent="0.25">
      <c r="B38" s="101" t="s">
        <v>245</v>
      </c>
      <c r="C38" s="93" t="s">
        <v>247</v>
      </c>
      <c r="D38" s="91"/>
      <c r="E38" s="91"/>
      <c r="F38" s="69"/>
      <c r="G38" s="91"/>
    </row>
    <row r="39" spans="1:14" x14ac:dyDescent="0.25">
      <c r="A39" t="s">
        <v>238</v>
      </c>
      <c r="B39" s="94">
        <f>500*5</f>
        <v>2500</v>
      </c>
      <c r="C39" s="94">
        <f>4400*5/8</f>
        <v>2750</v>
      </c>
      <c r="D39" s="94" t="s">
        <v>253</v>
      </c>
      <c r="E39" s="91">
        <v>360</v>
      </c>
      <c r="F39" s="91">
        <f>250*360</f>
        <v>90000</v>
      </c>
      <c r="G39" s="91" t="s">
        <v>39</v>
      </c>
    </row>
    <row r="40" spans="1:14" x14ac:dyDescent="0.25">
      <c r="B40" s="102" t="s">
        <v>246</v>
      </c>
      <c r="C40" s="96" t="s">
        <v>248</v>
      </c>
      <c r="D40" s="69"/>
      <c r="E40" s="69"/>
      <c r="F40" s="69"/>
      <c r="G40" s="91"/>
    </row>
    <row r="41" spans="1:14" ht="15.75" thickBot="1" x14ac:dyDescent="0.3">
      <c r="B41" s="70">
        <f>SUM(B37:B40)</f>
        <v>4000</v>
      </c>
      <c r="C41" s="70">
        <f>+C37+C39</f>
        <v>4400</v>
      </c>
      <c r="D41" s="79" t="s">
        <v>254</v>
      </c>
      <c r="F41" s="21">
        <f>SUM(F37:F40)</f>
        <v>120000</v>
      </c>
      <c r="G41" s="14" t="s">
        <v>39</v>
      </c>
      <c r="I41" s="11"/>
    </row>
    <row r="42" spans="1:14" ht="15.75" thickTop="1" x14ac:dyDescent="0.25">
      <c r="G42" s="8"/>
    </row>
    <row r="43" spans="1:14" x14ac:dyDescent="0.25">
      <c r="G43" s="8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workbookViewId="0">
      <selection activeCell="D21" sqref="D21"/>
    </sheetView>
  </sheetViews>
  <sheetFormatPr defaultRowHeight="15" x14ac:dyDescent="0.25"/>
  <cols>
    <col min="1" max="1" width="21.140625" customWidth="1"/>
    <col min="2" max="2" width="14.28515625" customWidth="1"/>
    <col min="3" max="3" width="17.42578125" customWidth="1"/>
    <col min="4" max="4" width="10.5703125" customWidth="1"/>
    <col min="5" max="6" width="10.5703125" bestFit="1" customWidth="1"/>
    <col min="7" max="7" width="9.5703125" bestFit="1" customWidth="1"/>
    <col min="9" max="9" width="11.28515625" bestFit="1" customWidth="1"/>
  </cols>
  <sheetData>
    <row r="2" spans="1:10" x14ac:dyDescent="0.25">
      <c r="A2" s="9" t="s">
        <v>261</v>
      </c>
    </row>
    <row r="4" spans="1:10" x14ac:dyDescent="0.25">
      <c r="A4" t="s">
        <v>244</v>
      </c>
      <c r="B4" s="19" t="s">
        <v>57</v>
      </c>
      <c r="C4" t="s">
        <v>141</v>
      </c>
      <c r="D4" s="20" t="s">
        <v>59</v>
      </c>
      <c r="E4" t="s">
        <v>142</v>
      </c>
      <c r="F4" s="19" t="s">
        <v>61</v>
      </c>
      <c r="G4" t="s">
        <v>134</v>
      </c>
    </row>
    <row r="5" spans="1:10" x14ac:dyDescent="0.25">
      <c r="A5" s="49" t="s">
        <v>262</v>
      </c>
      <c r="B5" s="19" t="s">
        <v>57</v>
      </c>
      <c r="C5" s="8">
        <f>53000/90*100*2/3</f>
        <v>39259.259259259263</v>
      </c>
      <c r="D5" s="20" t="s">
        <v>59</v>
      </c>
      <c r="E5" s="8">
        <v>34000</v>
      </c>
      <c r="F5" s="19" t="s">
        <v>61</v>
      </c>
      <c r="G5" s="8">
        <v>2.5</v>
      </c>
      <c r="H5" s="19" t="s">
        <v>57</v>
      </c>
      <c r="I5" s="11">
        <f>(C5-E5)*G5</f>
        <v>13148.148148148157</v>
      </c>
      <c r="J5" t="s">
        <v>41</v>
      </c>
    </row>
    <row r="6" spans="1:10" x14ac:dyDescent="0.25">
      <c r="C6" s="3" t="s">
        <v>264</v>
      </c>
    </row>
    <row r="7" spans="1:10" x14ac:dyDescent="0.25">
      <c r="A7" t="s">
        <v>263</v>
      </c>
      <c r="B7" s="19" t="s">
        <v>57</v>
      </c>
      <c r="C7" s="26">
        <f>53000/90*100/3</f>
        <v>19629.629629629631</v>
      </c>
      <c r="D7" s="20" t="s">
        <v>59</v>
      </c>
      <c r="E7" s="8">
        <v>22000</v>
      </c>
      <c r="F7" s="19" t="s">
        <v>61</v>
      </c>
      <c r="G7" s="8">
        <v>4</v>
      </c>
      <c r="H7" s="19" t="s">
        <v>57</v>
      </c>
      <c r="I7" s="11">
        <f>(E7-C7)*G7</f>
        <v>9481.4814814814745</v>
      </c>
      <c r="J7" t="s">
        <v>39</v>
      </c>
    </row>
    <row r="8" spans="1:10" x14ac:dyDescent="0.25">
      <c r="C8" s="3" t="s">
        <v>265</v>
      </c>
    </row>
    <row r="9" spans="1:10" ht="15.75" thickBot="1" x14ac:dyDescent="0.3">
      <c r="I9" s="74">
        <f>I5-I7</f>
        <v>3666.6666666666824</v>
      </c>
      <c r="J9" t="s">
        <v>41</v>
      </c>
    </row>
    <row r="10" spans="1:10" ht="15.75" thickTop="1" x14ac:dyDescent="0.25"/>
    <row r="11" spans="1:10" x14ac:dyDescent="0.25">
      <c r="A11" s="9" t="s">
        <v>221</v>
      </c>
      <c r="D11" s="9"/>
      <c r="E11" s="9"/>
      <c r="F11" s="9"/>
    </row>
    <row r="12" spans="1:10" ht="30" x14ac:dyDescent="0.25">
      <c r="A12" s="97" t="s">
        <v>25</v>
      </c>
      <c r="B12" s="98" t="s">
        <v>222</v>
      </c>
      <c r="C12" s="98" t="s">
        <v>223</v>
      </c>
      <c r="D12" s="99" t="s">
        <v>224</v>
      </c>
      <c r="E12" s="100" t="s">
        <v>189</v>
      </c>
      <c r="F12" s="97" t="s">
        <v>225</v>
      </c>
    </row>
    <row r="13" spans="1:10" x14ac:dyDescent="0.25">
      <c r="A13" t="s">
        <v>262</v>
      </c>
      <c r="B13" s="91">
        <v>34000</v>
      </c>
      <c r="C13" s="91">
        <f>56000*0.666666666666667</f>
        <v>37333.333333333328</v>
      </c>
      <c r="D13" s="95" t="s">
        <v>268</v>
      </c>
      <c r="E13" s="91">
        <v>2.5</v>
      </c>
      <c r="F13" s="91">
        <f>3333.33*2.5</f>
        <v>8333.3250000000007</v>
      </c>
      <c r="G13" s="91" t="s">
        <v>41</v>
      </c>
    </row>
    <row r="14" spans="1:10" x14ac:dyDescent="0.25">
      <c r="B14" s="91"/>
      <c r="C14" s="93" t="s">
        <v>266</v>
      </c>
      <c r="D14" s="69"/>
      <c r="E14" s="91"/>
      <c r="F14" s="69"/>
      <c r="G14" s="91"/>
    </row>
    <row r="15" spans="1:10" x14ac:dyDescent="0.25">
      <c r="A15" t="s">
        <v>263</v>
      </c>
      <c r="B15" s="91">
        <v>22000</v>
      </c>
      <c r="C15" s="94">
        <f>56000/3</f>
        <v>18666.666666666668</v>
      </c>
      <c r="D15" s="95" t="s">
        <v>269</v>
      </c>
      <c r="E15" s="91">
        <v>4</v>
      </c>
      <c r="F15" s="91">
        <f>3333.33*4</f>
        <v>13333.32</v>
      </c>
      <c r="G15" s="91" t="s">
        <v>39</v>
      </c>
    </row>
    <row r="16" spans="1:10" x14ac:dyDescent="0.25">
      <c r="B16" s="69"/>
      <c r="C16" s="96" t="s">
        <v>267</v>
      </c>
      <c r="D16" s="69"/>
      <c r="E16" s="69"/>
      <c r="F16" s="69"/>
      <c r="G16" s="91"/>
    </row>
    <row r="17" spans="1:9" ht="15.75" thickBot="1" x14ac:dyDescent="0.3">
      <c r="B17" s="70">
        <f>SUM(B13:B16)</f>
        <v>56000</v>
      </c>
      <c r="C17" s="70">
        <f>B17</f>
        <v>56000</v>
      </c>
      <c r="D17" s="25">
        <v>0</v>
      </c>
      <c r="F17" s="21">
        <f>F15-F13</f>
        <v>4999.994999999999</v>
      </c>
      <c r="G17" s="14" t="s">
        <v>39</v>
      </c>
    </row>
    <row r="18" spans="1:9" ht="15.75" thickTop="1" x14ac:dyDescent="0.25">
      <c r="G18" s="8"/>
    </row>
    <row r="19" spans="1:9" x14ac:dyDescent="0.25">
      <c r="G19" s="8"/>
    </row>
    <row r="21" spans="1:9" x14ac:dyDescent="0.25">
      <c r="A21" s="9" t="s">
        <v>230</v>
      </c>
      <c r="D21" s="9"/>
      <c r="E21" s="9"/>
      <c r="F21" s="9"/>
    </row>
    <row r="22" spans="1:9" ht="30" x14ac:dyDescent="0.25">
      <c r="A22" s="97" t="s">
        <v>25</v>
      </c>
      <c r="B22" s="98" t="s">
        <v>231</v>
      </c>
      <c r="C22" s="98" t="s">
        <v>223</v>
      </c>
      <c r="D22" s="99" t="s">
        <v>224</v>
      </c>
      <c r="E22" s="100" t="s">
        <v>189</v>
      </c>
      <c r="F22" s="97" t="s">
        <v>225</v>
      </c>
    </row>
    <row r="23" spans="1:9" x14ac:dyDescent="0.25">
      <c r="A23" t="s">
        <v>262</v>
      </c>
      <c r="B23" s="94">
        <f>53000/0.9*2/3</f>
        <v>39259.259259259263</v>
      </c>
      <c r="C23" s="91">
        <f>56000*0.666666666666667</f>
        <v>37333.333333333328</v>
      </c>
      <c r="D23" s="94" t="s">
        <v>272</v>
      </c>
      <c r="E23" s="91">
        <v>2.5</v>
      </c>
      <c r="F23" s="91">
        <f>1925.93*2.5</f>
        <v>4814.8249999999998</v>
      </c>
      <c r="G23" s="91" t="s">
        <v>41</v>
      </c>
    </row>
    <row r="24" spans="1:9" x14ac:dyDescent="0.25">
      <c r="B24" s="101" t="s">
        <v>270</v>
      </c>
      <c r="C24" s="93" t="s">
        <v>266</v>
      </c>
      <c r="D24" s="91"/>
      <c r="E24" s="91"/>
      <c r="F24" s="69"/>
      <c r="G24" s="91"/>
    </row>
    <row r="25" spans="1:9" x14ac:dyDescent="0.25">
      <c r="A25" t="s">
        <v>263</v>
      </c>
      <c r="B25" s="94">
        <f>53000/0.9/3</f>
        <v>19629.629629629631</v>
      </c>
      <c r="C25" s="94">
        <f>56000/3</f>
        <v>18666.666666666668</v>
      </c>
      <c r="D25" s="94" t="s">
        <v>273</v>
      </c>
      <c r="E25" s="91">
        <v>4</v>
      </c>
      <c r="F25" s="91">
        <f>962.96*4</f>
        <v>3851.84</v>
      </c>
      <c r="G25" s="91" t="s">
        <v>41</v>
      </c>
    </row>
    <row r="26" spans="1:9" x14ac:dyDescent="0.25">
      <c r="B26" s="101" t="s">
        <v>271</v>
      </c>
      <c r="C26" s="96" t="s">
        <v>267</v>
      </c>
      <c r="D26" s="69"/>
      <c r="E26" s="69"/>
      <c r="F26" s="69"/>
      <c r="G26" s="91"/>
    </row>
    <row r="27" spans="1:9" ht="15.75" thickBot="1" x14ac:dyDescent="0.3">
      <c r="B27" s="70">
        <f>SUM(B23:B26)</f>
        <v>58888.888888888891</v>
      </c>
      <c r="C27" s="70">
        <f>+C23+C25</f>
        <v>56000</v>
      </c>
      <c r="D27" s="79"/>
      <c r="F27" s="21">
        <f>SUM(F23:F26)</f>
        <v>8666.6650000000009</v>
      </c>
      <c r="G27" s="14" t="s">
        <v>41</v>
      </c>
      <c r="I27" s="11"/>
    </row>
    <row r="28" spans="1:9" ht="15.75" thickTop="1" x14ac:dyDescent="0.25"/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5"/>
  <sheetViews>
    <sheetView workbookViewId="0">
      <selection activeCell="C21" sqref="C21"/>
    </sheetView>
  </sheetViews>
  <sheetFormatPr defaultRowHeight="15" x14ac:dyDescent="0.25"/>
  <cols>
    <col min="1" max="1" width="22.5703125" customWidth="1"/>
    <col min="2" max="2" width="9.5703125" bestFit="1" customWidth="1"/>
    <col min="3" max="3" width="12.140625" bestFit="1" customWidth="1"/>
    <col min="4" max="4" width="10.5703125" customWidth="1"/>
    <col min="5" max="5" width="13.140625" bestFit="1" customWidth="1"/>
    <col min="6" max="6" width="12.140625" customWidth="1"/>
    <col min="9" max="9" width="10.28515625" bestFit="1" customWidth="1"/>
    <col min="10" max="10" width="9.140625" style="8"/>
    <col min="13" max="13" width="16.42578125" customWidth="1"/>
    <col min="14" max="14" width="14.42578125" customWidth="1"/>
    <col min="15" max="15" width="13" customWidth="1"/>
  </cols>
  <sheetData>
    <row r="2" spans="1:10" x14ac:dyDescent="0.25">
      <c r="A2" s="9" t="s">
        <v>274</v>
      </c>
    </row>
    <row r="6" spans="1:10" x14ac:dyDescent="0.25">
      <c r="A6" s="49" t="s">
        <v>275</v>
      </c>
      <c r="B6" s="50" t="s">
        <v>57</v>
      </c>
      <c r="C6" s="51" t="s">
        <v>149</v>
      </c>
      <c r="D6" s="52" t="s">
        <v>59</v>
      </c>
      <c r="E6" s="53" t="s">
        <v>150</v>
      </c>
      <c r="F6" s="50"/>
      <c r="G6" s="49"/>
      <c r="H6" s="49"/>
      <c r="I6" s="49"/>
    </row>
    <row r="7" spans="1:10" x14ac:dyDescent="0.25">
      <c r="A7" s="49" t="s">
        <v>276</v>
      </c>
      <c r="B7" s="50" t="s">
        <v>57</v>
      </c>
      <c r="C7" s="54">
        <f>100*6*60</f>
        <v>36000</v>
      </c>
      <c r="D7" s="52" t="s">
        <v>59</v>
      </c>
      <c r="E7" s="55">
        <f>500*65</f>
        <v>32500</v>
      </c>
      <c r="F7" s="49"/>
      <c r="G7" s="49"/>
      <c r="H7" s="50" t="s">
        <v>57</v>
      </c>
      <c r="I7" s="57">
        <f>C7-E7</f>
        <v>3500</v>
      </c>
      <c r="J7" s="8" t="s">
        <v>41</v>
      </c>
    </row>
    <row r="8" spans="1:10" x14ac:dyDescent="0.25">
      <c r="A8" s="49"/>
      <c r="B8" s="49"/>
      <c r="C8" s="105" t="s">
        <v>278</v>
      </c>
      <c r="D8" s="106"/>
      <c r="E8" s="107" t="s">
        <v>280</v>
      </c>
      <c r="F8" s="49"/>
      <c r="G8" s="49"/>
      <c r="H8" s="49"/>
      <c r="I8" s="49"/>
    </row>
    <row r="9" spans="1:10" x14ac:dyDescent="0.25">
      <c r="A9" s="29" t="s">
        <v>277</v>
      </c>
      <c r="B9" s="50" t="s">
        <v>57</v>
      </c>
      <c r="C9" s="56">
        <f>100*4*50</f>
        <v>20000</v>
      </c>
      <c r="D9" s="52" t="s">
        <v>59</v>
      </c>
      <c r="E9" s="56">
        <f>550*45</f>
        <v>24750</v>
      </c>
      <c r="F9" s="49"/>
      <c r="G9" s="49"/>
      <c r="H9" s="50" t="s">
        <v>57</v>
      </c>
      <c r="I9" s="60">
        <f>E9-C9</f>
        <v>4750</v>
      </c>
      <c r="J9" s="8" t="s">
        <v>39</v>
      </c>
    </row>
    <row r="10" spans="1:10" x14ac:dyDescent="0.25">
      <c r="C10" s="3" t="s">
        <v>279</v>
      </c>
      <c r="D10" s="3"/>
      <c r="E10" s="3" t="s">
        <v>281</v>
      </c>
    </row>
    <row r="11" spans="1:10" ht="15.75" thickBot="1" x14ac:dyDescent="0.3">
      <c r="I11" s="74">
        <f>I9-I7</f>
        <v>1250</v>
      </c>
      <c r="J11" s="15" t="s">
        <v>39</v>
      </c>
    </row>
    <row r="12" spans="1:10" ht="15.75" thickTop="1" x14ac:dyDescent="0.25">
      <c r="I12" s="90"/>
      <c r="J12" s="15"/>
    </row>
    <row r="13" spans="1:10" x14ac:dyDescent="0.25">
      <c r="A13" t="s">
        <v>56</v>
      </c>
      <c r="B13" s="19" t="s">
        <v>57</v>
      </c>
      <c r="C13" t="s">
        <v>153</v>
      </c>
      <c r="D13" s="20" t="s">
        <v>59</v>
      </c>
      <c r="E13" t="s">
        <v>60</v>
      </c>
      <c r="F13" s="19" t="s">
        <v>61</v>
      </c>
      <c r="G13" t="s">
        <v>282</v>
      </c>
    </row>
    <row r="14" spans="1:10" x14ac:dyDescent="0.25">
      <c r="A14" s="49" t="s">
        <v>276</v>
      </c>
      <c r="B14" s="19" t="s">
        <v>57</v>
      </c>
      <c r="C14" s="8">
        <v>60</v>
      </c>
      <c r="D14" s="20" t="s">
        <v>59</v>
      </c>
      <c r="E14" s="8">
        <v>65</v>
      </c>
      <c r="F14" s="19" t="s">
        <v>61</v>
      </c>
      <c r="G14" s="8">
        <v>500</v>
      </c>
      <c r="H14" s="19" t="s">
        <v>57</v>
      </c>
      <c r="I14" s="11">
        <f>(E14-C14)*G14</f>
        <v>2500</v>
      </c>
      <c r="J14" s="8" t="s">
        <v>39</v>
      </c>
    </row>
    <row r="15" spans="1:10" x14ac:dyDescent="0.25">
      <c r="A15" s="49"/>
      <c r="D15" s="1"/>
      <c r="E15" s="2"/>
    </row>
    <row r="16" spans="1:10" x14ac:dyDescent="0.25">
      <c r="A16" s="29" t="s">
        <v>277</v>
      </c>
      <c r="B16" s="19" t="s">
        <v>57</v>
      </c>
      <c r="C16" s="8">
        <v>50</v>
      </c>
      <c r="D16" s="20" t="s">
        <v>59</v>
      </c>
      <c r="E16" s="8">
        <v>45</v>
      </c>
      <c r="F16" s="19" t="s">
        <v>61</v>
      </c>
      <c r="G16" s="8">
        <v>550</v>
      </c>
      <c r="H16" s="19" t="s">
        <v>57</v>
      </c>
      <c r="I16" s="11">
        <f>(C16-E16)*G16</f>
        <v>2750</v>
      </c>
      <c r="J16" s="8" t="s">
        <v>41</v>
      </c>
    </row>
    <row r="17" spans="1:13" x14ac:dyDescent="0.25">
      <c r="E17" s="2"/>
    </row>
    <row r="18" spans="1:13" ht="15.75" thickBot="1" x14ac:dyDescent="0.3">
      <c r="I18" s="74">
        <f>I16-I14</f>
        <v>250</v>
      </c>
      <c r="J18" s="15" t="s">
        <v>41</v>
      </c>
    </row>
    <row r="19" spans="1:13" ht="15.75" thickTop="1" x14ac:dyDescent="0.25"/>
    <row r="20" spans="1:13" x14ac:dyDescent="0.25">
      <c r="A20" t="s">
        <v>64</v>
      </c>
      <c r="B20" s="19" t="s">
        <v>57</v>
      </c>
      <c r="C20" t="s">
        <v>155</v>
      </c>
      <c r="D20" s="20" t="s">
        <v>59</v>
      </c>
      <c r="E20" t="s">
        <v>66</v>
      </c>
      <c r="F20" s="19" t="s">
        <v>61</v>
      </c>
      <c r="G20" t="s">
        <v>153</v>
      </c>
    </row>
    <row r="21" spans="1:13" x14ac:dyDescent="0.25">
      <c r="A21" s="49" t="s">
        <v>276</v>
      </c>
      <c r="B21" s="19" t="s">
        <v>57</v>
      </c>
      <c r="C21" s="8">
        <v>600</v>
      </c>
      <c r="D21" s="20" t="s">
        <v>59</v>
      </c>
      <c r="E21" s="8">
        <v>500</v>
      </c>
      <c r="F21" s="19" t="s">
        <v>61</v>
      </c>
      <c r="G21" s="8">
        <v>60</v>
      </c>
      <c r="H21" s="19" t="s">
        <v>57</v>
      </c>
      <c r="I21" s="11">
        <f>(C21-E21)*G21</f>
        <v>6000</v>
      </c>
      <c r="J21" s="8" t="s">
        <v>41</v>
      </c>
    </row>
    <row r="22" spans="1:13" x14ac:dyDescent="0.25">
      <c r="A22" s="49"/>
      <c r="C22" s="3" t="s">
        <v>283</v>
      </c>
    </row>
    <row r="23" spans="1:13" x14ac:dyDescent="0.25">
      <c r="A23" s="29" t="s">
        <v>277</v>
      </c>
      <c r="B23" s="19" t="s">
        <v>57</v>
      </c>
      <c r="C23" s="26">
        <v>400</v>
      </c>
      <c r="D23" s="20" t="s">
        <v>59</v>
      </c>
      <c r="E23" s="8">
        <v>550</v>
      </c>
      <c r="F23" s="19" t="s">
        <v>61</v>
      </c>
      <c r="G23" s="8">
        <v>50</v>
      </c>
      <c r="H23" s="19" t="s">
        <v>57</v>
      </c>
      <c r="I23" s="11">
        <f>(E23-C23)*G23</f>
        <v>7500</v>
      </c>
      <c r="J23" s="8" t="s">
        <v>39</v>
      </c>
    </row>
    <row r="24" spans="1:13" x14ac:dyDescent="0.25">
      <c r="C24" s="3" t="s">
        <v>284</v>
      </c>
    </row>
    <row r="25" spans="1:13" ht="15.75" thickBot="1" x14ac:dyDescent="0.3">
      <c r="I25" s="74">
        <f>I23-I21</f>
        <v>1500</v>
      </c>
      <c r="J25" s="15" t="s">
        <v>39</v>
      </c>
    </row>
    <row r="26" spans="1:13" ht="15.75" thickTop="1" x14ac:dyDescent="0.25"/>
    <row r="27" spans="1:13" x14ac:dyDescent="0.25">
      <c r="A27" s="9" t="s">
        <v>285</v>
      </c>
      <c r="D27" s="9"/>
      <c r="E27" s="9"/>
      <c r="F27" s="9"/>
    </row>
    <row r="28" spans="1:13" ht="30" x14ac:dyDescent="0.25">
      <c r="A28" s="97" t="s">
        <v>286</v>
      </c>
      <c r="B28" s="98" t="s">
        <v>287</v>
      </c>
      <c r="C28" s="98" t="s">
        <v>288</v>
      </c>
      <c r="D28" s="99" t="s">
        <v>289</v>
      </c>
      <c r="E28" s="100" t="s">
        <v>290</v>
      </c>
      <c r="F28" s="97" t="s">
        <v>225</v>
      </c>
    </row>
    <row r="29" spans="1:13" x14ac:dyDescent="0.25">
      <c r="A29" s="49" t="s">
        <v>276</v>
      </c>
      <c r="B29" s="91">
        <v>500</v>
      </c>
      <c r="C29" s="91">
        <f>1050*0.6</f>
        <v>630</v>
      </c>
      <c r="D29" s="94" t="s">
        <v>293</v>
      </c>
      <c r="E29" s="91">
        <v>60</v>
      </c>
      <c r="F29" s="91">
        <f>130*60</f>
        <v>7800</v>
      </c>
      <c r="G29" s="91" t="s">
        <v>41</v>
      </c>
      <c r="M29" t="s">
        <v>300</v>
      </c>
    </row>
    <row r="30" spans="1:13" x14ac:dyDescent="0.25">
      <c r="A30" s="49"/>
      <c r="B30" s="91"/>
      <c r="C30" s="93" t="s">
        <v>291</v>
      </c>
      <c r="D30" s="91"/>
      <c r="E30" s="91"/>
      <c r="F30" s="69"/>
      <c r="G30" s="91"/>
      <c r="M30" s="3" t="s">
        <v>301</v>
      </c>
    </row>
    <row r="31" spans="1:13" x14ac:dyDescent="0.25">
      <c r="A31" s="29" t="s">
        <v>277</v>
      </c>
      <c r="B31" s="91">
        <v>550</v>
      </c>
      <c r="C31" s="94">
        <f>1050*0.4</f>
        <v>420</v>
      </c>
      <c r="D31" s="94" t="s">
        <v>294</v>
      </c>
      <c r="E31" s="91">
        <v>50</v>
      </c>
      <c r="F31" s="91">
        <f>130*50</f>
        <v>6500</v>
      </c>
      <c r="G31" s="91" t="s">
        <v>39</v>
      </c>
    </row>
    <row r="32" spans="1:13" x14ac:dyDescent="0.25">
      <c r="B32" s="69"/>
      <c r="C32" s="96" t="s">
        <v>292</v>
      </c>
      <c r="D32" s="69"/>
      <c r="E32" s="69"/>
      <c r="F32" s="69"/>
      <c r="G32" s="91"/>
    </row>
    <row r="33" spans="1:15" ht="15.75" thickBot="1" x14ac:dyDescent="0.3">
      <c r="B33" s="70">
        <f>SUM(B29:B32)</f>
        <v>1050</v>
      </c>
      <c r="C33" s="70">
        <f>B33</f>
        <v>1050</v>
      </c>
      <c r="D33" s="25">
        <v>0</v>
      </c>
      <c r="F33" s="21">
        <f>F29-F31</f>
        <v>1300</v>
      </c>
      <c r="G33" s="14" t="s">
        <v>41</v>
      </c>
      <c r="L33" s="103" t="s">
        <v>13</v>
      </c>
      <c r="M33" s="103"/>
      <c r="N33" s="103" t="s">
        <v>14</v>
      </c>
      <c r="O33" s="3"/>
    </row>
    <row r="34" spans="1:15" ht="15.75" thickTop="1" x14ac:dyDescent="0.25">
      <c r="G34" s="8"/>
      <c r="L34" s="2" t="s">
        <v>252</v>
      </c>
      <c r="N34" s="3" t="s">
        <v>302</v>
      </c>
    </row>
    <row r="35" spans="1:15" x14ac:dyDescent="0.25">
      <c r="G35" s="8"/>
    </row>
    <row r="36" spans="1:15" ht="15.75" x14ac:dyDescent="0.25">
      <c r="L36" s="4"/>
      <c r="M36" s="104" t="s">
        <v>20</v>
      </c>
      <c r="N36" s="104"/>
      <c r="O36" s="104" t="s">
        <v>21</v>
      </c>
    </row>
    <row r="37" spans="1:15" x14ac:dyDescent="0.25">
      <c r="A37" s="9" t="s">
        <v>295</v>
      </c>
      <c r="D37" s="9"/>
      <c r="E37" s="9"/>
      <c r="F37" s="9"/>
      <c r="M37" s="2" t="s">
        <v>303</v>
      </c>
      <c r="O37" s="2" t="s">
        <v>304</v>
      </c>
    </row>
    <row r="38" spans="1:15" ht="30" x14ac:dyDescent="0.25">
      <c r="A38" s="97" t="s">
        <v>286</v>
      </c>
      <c r="B38" s="98" t="s">
        <v>296</v>
      </c>
      <c r="C38" s="98" t="s">
        <v>288</v>
      </c>
      <c r="D38" s="99" t="s">
        <v>289</v>
      </c>
      <c r="E38" s="100" t="s">
        <v>290</v>
      </c>
      <c r="F38" s="97" t="s">
        <v>225</v>
      </c>
    </row>
    <row r="39" spans="1:15" x14ac:dyDescent="0.25">
      <c r="A39" s="49" t="s">
        <v>276</v>
      </c>
      <c r="B39" s="94">
        <v>600</v>
      </c>
      <c r="C39" s="91">
        <f>1050*0.6</f>
        <v>630</v>
      </c>
      <c r="D39" s="94" t="s">
        <v>234</v>
      </c>
      <c r="E39" s="91">
        <v>60</v>
      </c>
      <c r="F39" s="91">
        <f>30*60</f>
        <v>1800</v>
      </c>
      <c r="G39" s="91" t="s">
        <v>39</v>
      </c>
    </row>
    <row r="40" spans="1:15" x14ac:dyDescent="0.25">
      <c r="A40" s="49"/>
      <c r="B40" s="101" t="s">
        <v>297</v>
      </c>
      <c r="C40" s="93" t="s">
        <v>291</v>
      </c>
      <c r="D40" s="91"/>
      <c r="E40" s="91"/>
      <c r="F40" s="69"/>
      <c r="G40" s="91"/>
    </row>
    <row r="41" spans="1:15" x14ac:dyDescent="0.25">
      <c r="A41" s="29" t="s">
        <v>277</v>
      </c>
      <c r="B41" s="94">
        <v>400</v>
      </c>
      <c r="C41" s="94">
        <f>1050*0.4</f>
        <v>420</v>
      </c>
      <c r="D41" s="94" t="s">
        <v>233</v>
      </c>
      <c r="E41" s="91">
        <v>50</v>
      </c>
      <c r="F41" s="91">
        <f>20*50</f>
        <v>1000</v>
      </c>
      <c r="G41" s="91" t="s">
        <v>39</v>
      </c>
    </row>
    <row r="42" spans="1:15" x14ac:dyDescent="0.25">
      <c r="B42" s="102" t="s">
        <v>298</v>
      </c>
      <c r="C42" s="96" t="s">
        <v>292</v>
      </c>
      <c r="D42" s="69"/>
      <c r="E42" s="69"/>
      <c r="F42" s="69"/>
      <c r="G42" s="91"/>
    </row>
    <row r="43" spans="1:15" ht="15.75" thickBot="1" x14ac:dyDescent="0.3">
      <c r="B43" s="70">
        <f>SUM(B39:B42)</f>
        <v>1000</v>
      </c>
      <c r="C43" s="70">
        <f>+C39+C41</f>
        <v>1050</v>
      </c>
      <c r="D43" s="79" t="s">
        <v>299</v>
      </c>
      <c r="F43" s="21">
        <f>SUM(F39:F42)</f>
        <v>2800</v>
      </c>
      <c r="G43" s="14" t="s">
        <v>39</v>
      </c>
      <c r="I43" s="11"/>
    </row>
    <row r="44" spans="1:15" ht="15.75" thickTop="1" x14ac:dyDescent="0.25">
      <c r="G44" s="8"/>
    </row>
    <row r="45" spans="1:15" x14ac:dyDescent="0.25">
      <c r="G45" s="8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4"/>
  <sheetViews>
    <sheetView workbookViewId="0">
      <selection activeCell="G22" sqref="G22"/>
    </sheetView>
  </sheetViews>
  <sheetFormatPr defaultRowHeight="15" x14ac:dyDescent="0.25"/>
  <cols>
    <col min="2" max="2" width="19.28515625" bestFit="1" customWidth="1"/>
    <col min="3" max="3" width="2" bestFit="1" customWidth="1"/>
    <col min="4" max="4" width="32.5703125" bestFit="1" customWidth="1"/>
  </cols>
  <sheetData>
    <row r="3" spans="2:4" x14ac:dyDescent="0.25">
      <c r="B3" s="2" t="s">
        <v>305</v>
      </c>
      <c r="C3" s="124" t="s">
        <v>57</v>
      </c>
      <c r="D3" s="2" t="s">
        <v>306</v>
      </c>
    </row>
    <row r="4" spans="2:4" x14ac:dyDescent="0.25">
      <c r="B4" t="s">
        <v>307</v>
      </c>
      <c r="C4" s="19" t="s">
        <v>57</v>
      </c>
      <c r="D4" t="s">
        <v>308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3"/>
  <sheetViews>
    <sheetView workbookViewId="0">
      <selection activeCell="H22" sqref="H22"/>
    </sheetView>
  </sheetViews>
  <sheetFormatPr defaultRowHeight="15" x14ac:dyDescent="0.25"/>
  <cols>
    <col min="1" max="1" width="15.85546875" customWidth="1"/>
    <col min="2" max="2" width="9.5703125" bestFit="1" customWidth="1"/>
    <col min="3" max="3" width="14.42578125" customWidth="1"/>
    <col min="5" max="5" width="14.28515625" customWidth="1"/>
    <col min="6" max="6" width="11.85546875" customWidth="1"/>
    <col min="7" max="7" width="14.140625" customWidth="1"/>
    <col min="9" max="9" width="10.28515625" bestFit="1" customWidth="1"/>
    <col min="12" max="12" width="15.42578125" customWidth="1"/>
    <col min="13" max="13" width="12.5703125" customWidth="1"/>
    <col min="15" max="15" width="5.140625" customWidth="1"/>
    <col min="17" max="17" width="4.42578125" customWidth="1"/>
    <col min="18" max="18" width="9.5703125" bestFit="1" customWidth="1"/>
    <col min="19" max="19" width="3.28515625" customWidth="1"/>
    <col min="20" max="20" width="9.5703125" bestFit="1" customWidth="1"/>
  </cols>
  <sheetData>
    <row r="2" spans="1:21" x14ac:dyDescent="0.25">
      <c r="A2" s="9" t="s">
        <v>309</v>
      </c>
    </row>
    <row r="4" spans="1:21" x14ac:dyDescent="0.25">
      <c r="J4" s="8"/>
    </row>
    <row r="5" spans="1:21" x14ac:dyDescent="0.25">
      <c r="A5" s="49" t="s">
        <v>310</v>
      </c>
      <c r="B5" s="50" t="s">
        <v>57</v>
      </c>
      <c r="C5" s="51" t="s">
        <v>312</v>
      </c>
      <c r="D5" s="52" t="s">
        <v>59</v>
      </c>
      <c r="E5" s="53" t="s">
        <v>311</v>
      </c>
      <c r="F5" s="50"/>
      <c r="G5" s="49"/>
      <c r="H5" s="49"/>
      <c r="I5" s="49"/>
      <c r="J5" s="8"/>
    </row>
    <row r="6" spans="1:21" x14ac:dyDescent="0.25">
      <c r="A6" s="49" t="s">
        <v>237</v>
      </c>
      <c r="B6" s="50" t="s">
        <v>57</v>
      </c>
      <c r="C6" s="54">
        <f>1000*20</f>
        <v>20000</v>
      </c>
      <c r="D6" s="52" t="s">
        <v>59</v>
      </c>
      <c r="E6" s="55">
        <f>1050*18</f>
        <v>18900</v>
      </c>
      <c r="F6" s="49"/>
      <c r="G6" s="49"/>
      <c r="H6" s="50" t="s">
        <v>57</v>
      </c>
      <c r="I6" s="57">
        <f>C6-E6</f>
        <v>1100</v>
      </c>
      <c r="J6" s="8" t="s">
        <v>39</v>
      </c>
    </row>
    <row r="7" spans="1:21" x14ac:dyDescent="0.25">
      <c r="A7" s="49"/>
      <c r="B7" s="49"/>
      <c r="C7" s="105" t="s">
        <v>313</v>
      </c>
      <c r="D7" s="106"/>
      <c r="E7" s="107" t="s">
        <v>314</v>
      </c>
      <c r="F7" s="49"/>
      <c r="G7" s="49"/>
      <c r="H7" s="49"/>
      <c r="I7" s="49"/>
      <c r="J7" s="8"/>
    </row>
    <row r="8" spans="1:21" x14ac:dyDescent="0.25">
      <c r="A8" s="29" t="s">
        <v>238</v>
      </c>
      <c r="B8" s="50" t="s">
        <v>57</v>
      </c>
      <c r="C8" s="56">
        <f>1500*15</f>
        <v>22500</v>
      </c>
      <c r="D8" s="52" t="s">
        <v>59</v>
      </c>
      <c r="E8" s="56">
        <f>1400*16</f>
        <v>22400</v>
      </c>
      <c r="F8" s="49"/>
      <c r="G8" s="49"/>
      <c r="H8" s="50" t="s">
        <v>57</v>
      </c>
      <c r="I8" s="60">
        <f>C8-E8</f>
        <v>100</v>
      </c>
      <c r="J8" s="8" t="s">
        <v>39</v>
      </c>
    </row>
    <row r="9" spans="1:21" x14ac:dyDescent="0.25">
      <c r="C9" s="3" t="s">
        <v>315</v>
      </c>
      <c r="D9" s="3"/>
      <c r="E9" s="3" t="s">
        <v>316</v>
      </c>
      <c r="J9" s="8"/>
    </row>
    <row r="10" spans="1:21" ht="15.75" thickBot="1" x14ac:dyDescent="0.3">
      <c r="I10" s="74">
        <f>SUM(I6:I9)</f>
        <v>1200</v>
      </c>
      <c r="J10" s="15" t="s">
        <v>39</v>
      </c>
    </row>
    <row r="11" spans="1:21" ht="15.75" thickTop="1" x14ac:dyDescent="0.25">
      <c r="I11" s="90"/>
      <c r="J11" s="15"/>
    </row>
    <row r="12" spans="1:21" x14ac:dyDescent="0.25">
      <c r="A12" t="s">
        <v>317</v>
      </c>
      <c r="B12" s="19" t="s">
        <v>57</v>
      </c>
      <c r="C12" s="51" t="s">
        <v>312</v>
      </c>
      <c r="D12" s="20" t="s">
        <v>59</v>
      </c>
      <c r="E12" s="53" t="s">
        <v>311</v>
      </c>
      <c r="F12" s="19" t="s">
        <v>61</v>
      </c>
      <c r="G12" t="s">
        <v>318</v>
      </c>
      <c r="J12" s="8"/>
      <c r="L12" t="s">
        <v>323</v>
      </c>
      <c r="M12" s="19" t="s">
        <v>57</v>
      </c>
      <c r="N12" s="51" t="s">
        <v>134</v>
      </c>
      <c r="O12" s="20" t="s">
        <v>59</v>
      </c>
      <c r="P12" s="53" t="s">
        <v>135</v>
      </c>
      <c r="Q12" s="19" t="s">
        <v>61</v>
      </c>
      <c r="R12" t="s">
        <v>318</v>
      </c>
      <c r="U12" s="8"/>
    </row>
    <row r="13" spans="1:21" x14ac:dyDescent="0.25">
      <c r="A13" s="49" t="s">
        <v>237</v>
      </c>
      <c r="B13" s="19" t="s">
        <v>57</v>
      </c>
      <c r="C13" s="8">
        <v>20</v>
      </c>
      <c r="D13" s="20" t="s">
        <v>59</v>
      </c>
      <c r="E13" s="8">
        <v>18</v>
      </c>
      <c r="F13" s="19" t="s">
        <v>61</v>
      </c>
      <c r="G13" s="8">
        <v>1050</v>
      </c>
      <c r="H13" s="19" t="s">
        <v>57</v>
      </c>
      <c r="I13" s="11">
        <f>(C13-E13)*G13</f>
        <v>2100</v>
      </c>
      <c r="J13" s="8" t="s">
        <v>39</v>
      </c>
      <c r="L13" s="49" t="s">
        <v>237</v>
      </c>
      <c r="M13" s="19" t="s">
        <v>57</v>
      </c>
      <c r="N13" s="8">
        <v>100</v>
      </c>
      <c r="O13" s="20" t="s">
        <v>59</v>
      </c>
      <c r="P13" s="8">
        <v>98</v>
      </c>
      <c r="Q13" s="19" t="s">
        <v>61</v>
      </c>
      <c r="R13" s="8">
        <v>1050</v>
      </c>
      <c r="S13" s="19" t="s">
        <v>57</v>
      </c>
      <c r="T13" s="11">
        <f>(N13-P13)*R13</f>
        <v>2100</v>
      </c>
      <c r="U13" s="8" t="s">
        <v>39</v>
      </c>
    </row>
    <row r="14" spans="1:21" x14ac:dyDescent="0.25">
      <c r="A14" s="49"/>
      <c r="C14" s="3" t="s">
        <v>319</v>
      </c>
      <c r="D14" s="3"/>
      <c r="E14" s="3" t="s">
        <v>320</v>
      </c>
      <c r="J14" s="8"/>
      <c r="L14" s="49"/>
      <c r="N14" s="3"/>
      <c r="O14" s="3"/>
      <c r="P14" s="3"/>
      <c r="U14" s="8"/>
    </row>
    <row r="15" spans="1:21" x14ac:dyDescent="0.25">
      <c r="A15" s="29" t="s">
        <v>238</v>
      </c>
      <c r="B15" s="19" t="s">
        <v>57</v>
      </c>
      <c r="C15" s="8">
        <v>15</v>
      </c>
      <c r="D15" s="20" t="s">
        <v>59</v>
      </c>
      <c r="E15" s="8">
        <v>16</v>
      </c>
      <c r="F15" s="19" t="s">
        <v>61</v>
      </c>
      <c r="G15" s="8">
        <v>1400</v>
      </c>
      <c r="H15" s="19" t="s">
        <v>57</v>
      </c>
      <c r="I15" s="11">
        <f>(E15-C15)*G15</f>
        <v>1400</v>
      </c>
      <c r="J15" s="8" t="s">
        <v>41</v>
      </c>
      <c r="L15" s="29" t="s">
        <v>238</v>
      </c>
      <c r="M15" s="19" t="s">
        <v>57</v>
      </c>
      <c r="N15" s="8">
        <v>110</v>
      </c>
      <c r="O15" s="20" t="s">
        <v>59</v>
      </c>
      <c r="P15" s="8">
        <v>111</v>
      </c>
      <c r="Q15" s="19" t="s">
        <v>61</v>
      </c>
      <c r="R15" s="8">
        <v>1400</v>
      </c>
      <c r="S15" s="19" t="s">
        <v>57</v>
      </c>
      <c r="T15" s="11">
        <f>(P15-N15)*R15</f>
        <v>1400</v>
      </c>
      <c r="U15" s="8" t="s">
        <v>41</v>
      </c>
    </row>
    <row r="16" spans="1:21" x14ac:dyDescent="0.25">
      <c r="C16" s="3" t="s">
        <v>321</v>
      </c>
      <c r="E16" s="3" t="s">
        <v>322</v>
      </c>
      <c r="J16" s="8"/>
      <c r="N16" s="3"/>
      <c r="P16" s="3"/>
      <c r="U16" s="8"/>
    </row>
    <row r="17" spans="1:21" ht="15.75" thickBot="1" x14ac:dyDescent="0.3">
      <c r="I17" s="74">
        <f>I13-I15</f>
        <v>700</v>
      </c>
      <c r="J17" s="15" t="s">
        <v>39</v>
      </c>
      <c r="T17" s="74">
        <f>T13-T15</f>
        <v>700</v>
      </c>
      <c r="U17" s="15" t="s">
        <v>39</v>
      </c>
    </row>
    <row r="18" spans="1:21" ht="15.75" thickTop="1" x14ac:dyDescent="0.25">
      <c r="J18" s="8"/>
    </row>
    <row r="19" spans="1:21" x14ac:dyDescent="0.25">
      <c r="A19" t="s">
        <v>324</v>
      </c>
      <c r="B19" s="19" t="s">
        <v>57</v>
      </c>
      <c r="C19" t="s">
        <v>325</v>
      </c>
      <c r="D19" s="20" t="s">
        <v>59</v>
      </c>
      <c r="E19" t="s">
        <v>318</v>
      </c>
      <c r="F19" s="19" t="s">
        <v>61</v>
      </c>
      <c r="G19" s="51" t="s">
        <v>312</v>
      </c>
      <c r="J19" s="8"/>
    </row>
    <row r="20" spans="1:21" x14ac:dyDescent="0.25">
      <c r="A20" s="49" t="s">
        <v>237</v>
      </c>
      <c r="B20" s="19" t="s">
        <v>57</v>
      </c>
      <c r="C20" s="8">
        <v>1000</v>
      </c>
      <c r="D20" s="20" t="s">
        <v>59</v>
      </c>
      <c r="E20" s="8">
        <v>1050</v>
      </c>
      <c r="F20" s="19" t="s">
        <v>61</v>
      </c>
      <c r="G20" s="8">
        <v>20</v>
      </c>
      <c r="H20" s="19" t="s">
        <v>57</v>
      </c>
      <c r="I20" s="11">
        <f>(E20-C20)*G20</f>
        <v>1000</v>
      </c>
      <c r="J20" s="8" t="s">
        <v>41</v>
      </c>
    </row>
    <row r="21" spans="1:21" x14ac:dyDescent="0.25">
      <c r="A21" s="49"/>
      <c r="C21" s="3"/>
      <c r="J21" s="8"/>
    </row>
    <row r="22" spans="1:21" x14ac:dyDescent="0.25">
      <c r="A22" s="29" t="s">
        <v>238</v>
      </c>
      <c r="B22" s="19" t="s">
        <v>57</v>
      </c>
      <c r="C22" s="26">
        <v>1500</v>
      </c>
      <c r="D22" s="20" t="s">
        <v>59</v>
      </c>
      <c r="E22" s="8">
        <v>1400</v>
      </c>
      <c r="F22" s="19" t="s">
        <v>61</v>
      </c>
      <c r="G22" s="8">
        <v>15</v>
      </c>
      <c r="H22" s="19" t="s">
        <v>57</v>
      </c>
      <c r="I22" s="11">
        <f>(C22-E22)*G22</f>
        <v>1500</v>
      </c>
      <c r="J22" s="8" t="s">
        <v>39</v>
      </c>
    </row>
    <row r="23" spans="1:21" x14ac:dyDescent="0.25">
      <c r="C23" s="3"/>
      <c r="J23" s="8"/>
    </row>
    <row r="24" spans="1:21" ht="15.75" thickBot="1" x14ac:dyDescent="0.3">
      <c r="I24" s="74">
        <f>I22-I20</f>
        <v>500</v>
      </c>
      <c r="J24" s="15" t="s">
        <v>39</v>
      </c>
    </row>
    <row r="25" spans="1:21" ht="15.75" thickTop="1" x14ac:dyDescent="0.25">
      <c r="J25" s="8"/>
    </row>
    <row r="26" spans="1:21" x14ac:dyDescent="0.25">
      <c r="A26" s="9" t="s">
        <v>326</v>
      </c>
      <c r="D26" s="9"/>
      <c r="E26" s="9"/>
      <c r="F26" s="9"/>
      <c r="J26" s="8"/>
    </row>
    <row r="27" spans="1:21" ht="30" x14ac:dyDescent="0.25">
      <c r="A27" s="97" t="s">
        <v>327</v>
      </c>
      <c r="B27" s="98" t="s">
        <v>328</v>
      </c>
      <c r="C27" s="98" t="s">
        <v>329</v>
      </c>
      <c r="D27" s="99" t="s">
        <v>224</v>
      </c>
      <c r="E27" s="100" t="s">
        <v>330</v>
      </c>
      <c r="F27" s="97" t="s">
        <v>225</v>
      </c>
      <c r="J27" s="8"/>
    </row>
    <row r="28" spans="1:21" x14ac:dyDescent="0.25">
      <c r="A28" s="49" t="s">
        <v>237</v>
      </c>
      <c r="B28" s="91">
        <v>1050</v>
      </c>
      <c r="C28" s="91">
        <f>2450*0.4</f>
        <v>980</v>
      </c>
      <c r="D28" s="94" t="s">
        <v>333</v>
      </c>
      <c r="E28" s="91">
        <v>20</v>
      </c>
      <c r="F28" s="91">
        <f>20*70</f>
        <v>1400</v>
      </c>
      <c r="G28" s="91" t="s">
        <v>41</v>
      </c>
      <c r="J28" s="8"/>
    </row>
    <row r="29" spans="1:21" x14ac:dyDescent="0.25">
      <c r="A29" s="49"/>
      <c r="B29" s="91"/>
      <c r="C29" s="93" t="s">
        <v>331</v>
      </c>
      <c r="D29" s="91"/>
      <c r="E29" s="91"/>
      <c r="F29" s="69"/>
      <c r="G29" s="91"/>
      <c r="J29" s="8"/>
    </row>
    <row r="30" spans="1:21" x14ac:dyDescent="0.25">
      <c r="A30" s="29" t="s">
        <v>238</v>
      </c>
      <c r="B30" s="91">
        <v>1400</v>
      </c>
      <c r="C30" s="94">
        <f>2450*0.6</f>
        <v>1470</v>
      </c>
      <c r="D30" s="94" t="s">
        <v>334</v>
      </c>
      <c r="E30" s="91">
        <v>15</v>
      </c>
      <c r="F30" s="91">
        <f>70*15</f>
        <v>1050</v>
      </c>
      <c r="G30" s="91" t="s">
        <v>39</v>
      </c>
      <c r="J30" s="8"/>
    </row>
    <row r="31" spans="1:21" x14ac:dyDescent="0.25">
      <c r="B31" s="69"/>
      <c r="C31" s="96" t="s">
        <v>332</v>
      </c>
      <c r="D31" s="69"/>
      <c r="E31" s="69"/>
      <c r="F31" s="69"/>
      <c r="G31" s="91"/>
      <c r="J31" s="8"/>
      <c r="L31" t="s">
        <v>337</v>
      </c>
    </row>
    <row r="32" spans="1:21" ht="15.75" thickBot="1" x14ac:dyDescent="0.3">
      <c r="B32" s="70">
        <f>SUM(B28:B31)</f>
        <v>2450</v>
      </c>
      <c r="C32" s="70">
        <f>B32</f>
        <v>2450</v>
      </c>
      <c r="D32" s="25">
        <v>0</v>
      </c>
      <c r="F32" s="21">
        <f>F28-F30</f>
        <v>350</v>
      </c>
      <c r="G32" s="14" t="s">
        <v>41</v>
      </c>
      <c r="J32" s="8"/>
      <c r="L32" s="3" t="s">
        <v>338</v>
      </c>
    </row>
    <row r="33" spans="1:14" ht="15.75" thickTop="1" x14ac:dyDescent="0.25">
      <c r="G33" s="8"/>
      <c r="J33" s="8"/>
    </row>
    <row r="34" spans="1:14" x14ac:dyDescent="0.25">
      <c r="G34" s="8"/>
      <c r="J34" s="8"/>
    </row>
    <row r="35" spans="1:14" x14ac:dyDescent="0.25">
      <c r="J35" s="8"/>
      <c r="K35" s="103" t="s">
        <v>11</v>
      </c>
      <c r="L35" s="103"/>
      <c r="M35" s="103" t="s">
        <v>16</v>
      </c>
      <c r="N35" s="3"/>
    </row>
    <row r="36" spans="1:14" x14ac:dyDescent="0.25">
      <c r="A36" s="9" t="s">
        <v>335</v>
      </c>
      <c r="D36" s="9"/>
      <c r="E36" s="9"/>
      <c r="F36" s="9"/>
      <c r="J36" s="8"/>
      <c r="K36" s="2" t="s">
        <v>339</v>
      </c>
      <c r="M36" s="3" t="s">
        <v>340</v>
      </c>
    </row>
    <row r="37" spans="1:14" ht="30" x14ac:dyDescent="0.25">
      <c r="A37" s="97" t="s">
        <v>327</v>
      </c>
      <c r="B37" s="98" t="s">
        <v>336</v>
      </c>
      <c r="C37" s="98" t="s">
        <v>329</v>
      </c>
      <c r="D37" s="99" t="s">
        <v>224</v>
      </c>
      <c r="E37" s="100" t="s">
        <v>330</v>
      </c>
      <c r="F37" s="97" t="s">
        <v>225</v>
      </c>
      <c r="J37" s="8"/>
    </row>
    <row r="38" spans="1:14" ht="15.75" x14ac:dyDescent="0.25">
      <c r="A38" s="49" t="s">
        <v>237</v>
      </c>
      <c r="B38" s="94">
        <v>1000</v>
      </c>
      <c r="C38" s="91">
        <f>2450*0.4</f>
        <v>980</v>
      </c>
      <c r="D38" s="94" t="s">
        <v>233</v>
      </c>
      <c r="E38" s="91">
        <v>20</v>
      </c>
      <c r="F38" s="91">
        <f>20*20</f>
        <v>400</v>
      </c>
      <c r="G38" s="91" t="s">
        <v>39</v>
      </c>
      <c r="J38" s="8"/>
      <c r="K38" s="4"/>
      <c r="L38" s="104" t="s">
        <v>20</v>
      </c>
      <c r="M38" s="104"/>
      <c r="N38" s="104" t="s">
        <v>18</v>
      </c>
    </row>
    <row r="39" spans="1:14" x14ac:dyDescent="0.25">
      <c r="A39" s="49"/>
      <c r="B39" s="101"/>
      <c r="C39" s="93" t="s">
        <v>331</v>
      </c>
      <c r="D39" s="91"/>
      <c r="E39" s="91"/>
      <c r="F39" s="69"/>
      <c r="G39" s="91"/>
      <c r="J39" s="8"/>
      <c r="L39" s="2" t="s">
        <v>250</v>
      </c>
      <c r="N39" s="2" t="s">
        <v>341</v>
      </c>
    </row>
    <row r="40" spans="1:14" x14ac:dyDescent="0.25">
      <c r="A40" s="29" t="s">
        <v>238</v>
      </c>
      <c r="B40" s="94">
        <v>1500</v>
      </c>
      <c r="C40" s="94">
        <f>2450*0.6</f>
        <v>1470</v>
      </c>
      <c r="D40" s="94" t="s">
        <v>234</v>
      </c>
      <c r="E40" s="91">
        <v>15</v>
      </c>
      <c r="F40" s="91">
        <f>30*15</f>
        <v>450</v>
      </c>
      <c r="G40" s="91" t="s">
        <v>39</v>
      </c>
      <c r="J40" s="8"/>
    </row>
    <row r="41" spans="1:14" x14ac:dyDescent="0.25">
      <c r="B41" s="102"/>
      <c r="C41" s="96" t="s">
        <v>332</v>
      </c>
      <c r="D41" s="69"/>
      <c r="E41" s="69"/>
      <c r="F41" s="69"/>
      <c r="G41" s="91"/>
      <c r="J41" s="8"/>
    </row>
    <row r="42" spans="1:14" ht="15.75" thickBot="1" x14ac:dyDescent="0.3">
      <c r="B42" s="70">
        <f>SUM(B38:B41)</f>
        <v>2500</v>
      </c>
      <c r="C42" s="70">
        <f>+C38+C40</f>
        <v>2450</v>
      </c>
      <c r="D42" s="79" t="s">
        <v>299</v>
      </c>
      <c r="F42" s="21">
        <f>SUM(F38:F41)</f>
        <v>850</v>
      </c>
      <c r="G42" s="14" t="s">
        <v>39</v>
      </c>
      <c r="I42" s="11"/>
      <c r="J42" s="8"/>
    </row>
    <row r="43" spans="1:14" ht="15.75" thickTop="1" x14ac:dyDescent="0.25"/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9"/>
  <sheetViews>
    <sheetView topLeftCell="B1" workbookViewId="0">
      <selection activeCell="M23" sqref="M23"/>
    </sheetView>
  </sheetViews>
  <sheetFormatPr defaultRowHeight="15" x14ac:dyDescent="0.25"/>
  <cols>
    <col min="1" max="1" width="11.28515625" customWidth="1"/>
    <col min="3" max="3" width="2.5703125" customWidth="1"/>
    <col min="4" max="4" width="13.42578125" customWidth="1"/>
    <col min="5" max="5" width="3.7109375" customWidth="1"/>
    <col min="6" max="6" width="20" bestFit="1" customWidth="1"/>
    <col min="7" max="7" width="4" customWidth="1"/>
    <col min="8" max="8" width="18.5703125" customWidth="1"/>
    <col min="9" max="9" width="2.85546875" customWidth="1"/>
    <col min="10" max="10" width="12.140625" customWidth="1"/>
    <col min="11" max="11" width="3.5703125" customWidth="1"/>
    <col min="12" max="12" width="3.28515625" customWidth="1"/>
    <col min="13" max="13" width="27.7109375" customWidth="1"/>
    <col min="14" max="14" width="10.7109375" customWidth="1"/>
    <col min="15" max="15" width="12.140625" customWidth="1"/>
    <col min="16" max="16" width="11.42578125" customWidth="1"/>
    <col min="17" max="17" width="12.85546875" customWidth="1"/>
  </cols>
  <sheetData>
    <row r="2" spans="1:18" x14ac:dyDescent="0.25">
      <c r="A2" s="9" t="s">
        <v>342</v>
      </c>
    </row>
    <row r="3" spans="1:18" x14ac:dyDescent="0.25">
      <c r="M3" s="148" t="s">
        <v>380</v>
      </c>
      <c r="N3" s="148"/>
      <c r="O3" s="148"/>
      <c r="P3" s="148"/>
      <c r="Q3" s="148"/>
    </row>
    <row r="4" spans="1:18" x14ac:dyDescent="0.25">
      <c r="A4" t="s">
        <v>343</v>
      </c>
      <c r="B4" s="49" t="s">
        <v>186</v>
      </c>
      <c r="C4" s="50" t="s">
        <v>57</v>
      </c>
      <c r="D4" s="51" t="s">
        <v>134</v>
      </c>
      <c r="E4" s="52" t="s">
        <v>59</v>
      </c>
      <c r="F4" s="53" t="s">
        <v>135</v>
      </c>
      <c r="G4" s="50" t="s">
        <v>61</v>
      </c>
      <c r="H4" s="49" t="s">
        <v>136</v>
      </c>
      <c r="I4" s="49"/>
      <c r="J4" s="49"/>
      <c r="K4" s="49"/>
      <c r="L4" s="49"/>
      <c r="M4" t="s">
        <v>113</v>
      </c>
      <c r="N4" t="s">
        <v>376</v>
      </c>
      <c r="Q4" s="8">
        <f>51000*14</f>
        <v>714000</v>
      </c>
    </row>
    <row r="5" spans="1:18" x14ac:dyDescent="0.25">
      <c r="B5" s="49"/>
      <c r="C5" s="50" t="s">
        <v>57</v>
      </c>
      <c r="D5" s="54">
        <v>8</v>
      </c>
      <c r="E5" s="52" t="s">
        <v>59</v>
      </c>
      <c r="F5" s="55">
        <f>829350/92150</f>
        <v>9</v>
      </c>
      <c r="G5" s="50" t="s">
        <v>61</v>
      </c>
      <c r="H5" s="56">
        <v>92150</v>
      </c>
      <c r="I5" s="50" t="s">
        <v>57</v>
      </c>
      <c r="J5" s="127">
        <f>(F5-D5)*H5</f>
        <v>92150</v>
      </c>
      <c r="K5" s="56" t="s">
        <v>39</v>
      </c>
      <c r="L5" s="49"/>
      <c r="M5" t="s">
        <v>324</v>
      </c>
      <c r="Q5" s="125">
        <f>-J59</f>
        <v>-35000</v>
      </c>
      <c r="R5" t="s">
        <v>39</v>
      </c>
    </row>
    <row r="6" spans="1:18" x14ac:dyDescent="0.25">
      <c r="B6" s="49"/>
      <c r="C6" s="49"/>
      <c r="D6" s="51"/>
      <c r="E6" s="49"/>
      <c r="F6" s="53" t="s">
        <v>344</v>
      </c>
      <c r="G6" s="49"/>
      <c r="H6" s="49"/>
      <c r="I6" s="49"/>
      <c r="J6" s="49"/>
      <c r="K6" s="49"/>
      <c r="L6" s="49"/>
      <c r="M6" t="s">
        <v>377</v>
      </c>
      <c r="N6" t="s">
        <v>378</v>
      </c>
      <c r="Q6" s="11">
        <f>SUM(Q4:Q5)</f>
        <v>679000</v>
      </c>
    </row>
    <row r="7" spans="1:18" x14ac:dyDescent="0.25"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</row>
    <row r="8" spans="1:18" x14ac:dyDescent="0.25">
      <c r="A8" t="s">
        <v>345</v>
      </c>
      <c r="B8" s="49" t="s">
        <v>188</v>
      </c>
      <c r="C8" s="50" t="s">
        <v>57</v>
      </c>
      <c r="D8" s="51" t="s">
        <v>141</v>
      </c>
      <c r="E8" s="52" t="s">
        <v>59</v>
      </c>
      <c r="F8" s="53" t="s">
        <v>142</v>
      </c>
      <c r="G8" s="50" t="s">
        <v>61</v>
      </c>
      <c r="H8" s="51" t="s">
        <v>134</v>
      </c>
      <c r="I8" s="49"/>
      <c r="J8" s="49"/>
      <c r="K8" s="49"/>
      <c r="L8" s="49"/>
      <c r="M8" s="71" t="s">
        <v>379</v>
      </c>
      <c r="N8" s="71"/>
      <c r="O8" s="72" t="s">
        <v>39</v>
      </c>
      <c r="P8" s="72" t="s">
        <v>41</v>
      </c>
    </row>
    <row r="9" spans="1:18" x14ac:dyDescent="0.25">
      <c r="B9" s="49"/>
      <c r="C9" s="50" t="s">
        <v>57</v>
      </c>
      <c r="D9" s="54">
        <f>48500*2</f>
        <v>97000</v>
      </c>
      <c r="E9" s="52" t="s">
        <v>59</v>
      </c>
      <c r="F9" s="55">
        <v>92150</v>
      </c>
      <c r="G9" s="50" t="s">
        <v>61</v>
      </c>
      <c r="H9" s="56">
        <v>8</v>
      </c>
      <c r="I9" s="50" t="s">
        <v>57</v>
      </c>
      <c r="J9" s="127">
        <f>(D9-F9)*H9</f>
        <v>38800</v>
      </c>
      <c r="K9" s="56" t="s">
        <v>41</v>
      </c>
      <c r="M9" t="s">
        <v>241</v>
      </c>
      <c r="O9" s="11">
        <f>+J5</f>
        <v>92150</v>
      </c>
    </row>
    <row r="10" spans="1:18" x14ac:dyDescent="0.25">
      <c r="B10" s="49"/>
      <c r="C10" s="49"/>
      <c r="D10" s="51" t="s">
        <v>346</v>
      </c>
      <c r="E10" s="49"/>
      <c r="F10" s="53"/>
      <c r="G10" s="49"/>
      <c r="H10" s="49"/>
      <c r="I10" s="49"/>
      <c r="J10" s="49"/>
      <c r="K10" s="49"/>
      <c r="M10" t="s">
        <v>244</v>
      </c>
      <c r="P10" s="11">
        <f>+J9</f>
        <v>38800</v>
      </c>
    </row>
    <row r="11" spans="1:18" x14ac:dyDescent="0.25">
      <c r="M11" t="s">
        <v>56</v>
      </c>
      <c r="O11" s="11">
        <f>+J13</f>
        <v>19400</v>
      </c>
    </row>
    <row r="12" spans="1:18" x14ac:dyDescent="0.25">
      <c r="A12" t="s">
        <v>347</v>
      </c>
      <c r="B12" s="49" t="s">
        <v>348</v>
      </c>
      <c r="C12" s="50" t="s">
        <v>57</v>
      </c>
      <c r="D12" s="51" t="s">
        <v>153</v>
      </c>
      <c r="E12" s="52" t="s">
        <v>59</v>
      </c>
      <c r="F12" s="53" t="s">
        <v>60</v>
      </c>
      <c r="G12" s="50" t="s">
        <v>61</v>
      </c>
      <c r="H12" s="49" t="s">
        <v>282</v>
      </c>
      <c r="I12" s="49"/>
      <c r="J12" s="49"/>
      <c r="K12" s="49"/>
      <c r="M12" t="s">
        <v>64</v>
      </c>
      <c r="P12" s="11">
        <f>+J17</f>
        <v>262500</v>
      </c>
    </row>
    <row r="13" spans="1:18" x14ac:dyDescent="0.25">
      <c r="B13" s="49"/>
      <c r="C13" s="50" t="s">
        <v>57</v>
      </c>
      <c r="D13" s="54">
        <v>50</v>
      </c>
      <c r="E13" s="52" t="s">
        <v>59</v>
      </c>
      <c r="F13" s="55">
        <f>989400/19400</f>
        <v>51</v>
      </c>
      <c r="G13" s="50" t="s">
        <v>61</v>
      </c>
      <c r="H13" s="56">
        <v>19400</v>
      </c>
      <c r="I13" s="50" t="s">
        <v>57</v>
      </c>
      <c r="J13" s="127">
        <f>(F13-D13)*H13</f>
        <v>19400</v>
      </c>
      <c r="K13" s="56" t="s">
        <v>39</v>
      </c>
      <c r="M13" t="s">
        <v>356</v>
      </c>
      <c r="O13" s="11">
        <f>+J21</f>
        <v>20000</v>
      </c>
    </row>
    <row r="14" spans="1:18" x14ac:dyDescent="0.25">
      <c r="B14" s="49"/>
      <c r="C14" s="49"/>
      <c r="D14" s="51"/>
      <c r="E14" s="49"/>
      <c r="F14" s="53" t="s">
        <v>349</v>
      </c>
      <c r="G14" s="49"/>
      <c r="H14" s="49"/>
      <c r="I14" s="49"/>
      <c r="J14" s="49"/>
      <c r="K14" s="49"/>
      <c r="M14" t="s">
        <v>358</v>
      </c>
      <c r="P14" s="11">
        <f>+J28</f>
        <v>38000</v>
      </c>
    </row>
    <row r="15" spans="1:18" x14ac:dyDescent="0.25">
      <c r="M15" t="s">
        <v>361</v>
      </c>
      <c r="P15" s="11">
        <f>+J32</f>
        <v>157500</v>
      </c>
    </row>
    <row r="16" spans="1:18" x14ac:dyDescent="0.25">
      <c r="A16" t="s">
        <v>350</v>
      </c>
      <c r="B16" s="49" t="s">
        <v>351</v>
      </c>
      <c r="C16" s="50" t="s">
        <v>57</v>
      </c>
      <c r="D16" s="51" t="s">
        <v>155</v>
      </c>
      <c r="E16" s="52" t="s">
        <v>59</v>
      </c>
      <c r="F16" s="53" t="s">
        <v>353</v>
      </c>
      <c r="G16" s="50" t="s">
        <v>61</v>
      </c>
      <c r="H16" s="51" t="s">
        <v>153</v>
      </c>
      <c r="I16" s="49"/>
      <c r="J16" s="49"/>
      <c r="K16" s="49"/>
      <c r="M16" t="s">
        <v>363</v>
      </c>
      <c r="P16" s="11">
        <f>+J36</f>
        <v>165000</v>
      </c>
    </row>
    <row r="17" spans="1:17" x14ac:dyDescent="0.25">
      <c r="B17" s="49"/>
      <c r="C17" s="50" t="s">
        <v>57</v>
      </c>
      <c r="D17" s="54">
        <f>48500/2</f>
        <v>24250</v>
      </c>
      <c r="E17" s="52" t="s">
        <v>59</v>
      </c>
      <c r="F17" s="55">
        <v>19000</v>
      </c>
      <c r="G17" s="50" t="s">
        <v>61</v>
      </c>
      <c r="H17" s="56">
        <v>50</v>
      </c>
      <c r="I17" s="50" t="s">
        <v>57</v>
      </c>
      <c r="J17" s="127">
        <f>(D17-F17)*H17</f>
        <v>262500</v>
      </c>
      <c r="K17" s="56" t="s">
        <v>41</v>
      </c>
      <c r="M17" t="s">
        <v>174</v>
      </c>
      <c r="O17" s="11">
        <f>+J47</f>
        <v>260000</v>
      </c>
    </row>
    <row r="18" spans="1:17" x14ac:dyDescent="0.25">
      <c r="B18" s="49"/>
      <c r="C18" s="49"/>
      <c r="D18" s="51" t="s">
        <v>354</v>
      </c>
      <c r="E18" s="49"/>
      <c r="F18" s="53"/>
      <c r="G18" s="49"/>
      <c r="H18" s="49"/>
      <c r="I18" s="49"/>
      <c r="J18" s="49"/>
      <c r="K18" s="49"/>
      <c r="M18" t="s">
        <v>175</v>
      </c>
      <c r="P18" s="11">
        <f>+J51</f>
        <v>210000</v>
      </c>
    </row>
    <row r="19" spans="1:17" x14ac:dyDescent="0.25">
      <c r="M19" t="s">
        <v>317</v>
      </c>
      <c r="P19" s="11">
        <f>+J55</f>
        <v>97000</v>
      </c>
    </row>
    <row r="20" spans="1:17" x14ac:dyDescent="0.25">
      <c r="A20" t="s">
        <v>355</v>
      </c>
      <c r="B20" s="49" t="s">
        <v>356</v>
      </c>
      <c r="C20" s="50" t="s">
        <v>57</v>
      </c>
      <c r="D20" s="51" t="s">
        <v>282</v>
      </c>
      <c r="E20" s="52" t="s">
        <v>59</v>
      </c>
      <c r="F20" s="53" t="s">
        <v>353</v>
      </c>
      <c r="G20" s="50" t="s">
        <v>61</v>
      </c>
      <c r="H20" s="51" t="s">
        <v>153</v>
      </c>
      <c r="I20" s="49"/>
      <c r="J20" s="49"/>
      <c r="K20" s="49"/>
      <c r="O20" s="11">
        <f>SUM(O9:O19)</f>
        <v>391550</v>
      </c>
      <c r="P20" s="11">
        <f>SUM(P9:P19)</f>
        <v>968800</v>
      </c>
      <c r="Q20" s="11">
        <f>+P20-O20</f>
        <v>577250</v>
      </c>
    </row>
    <row r="21" spans="1:17" ht="15.75" thickBot="1" x14ac:dyDescent="0.3">
      <c r="B21" s="49"/>
      <c r="C21" s="50" t="s">
        <v>57</v>
      </c>
      <c r="D21" s="54">
        <v>19400</v>
      </c>
      <c r="E21" s="52" t="s">
        <v>59</v>
      </c>
      <c r="F21" s="55">
        <v>19000</v>
      </c>
      <c r="G21" s="50" t="s">
        <v>61</v>
      </c>
      <c r="H21" s="56">
        <v>50</v>
      </c>
      <c r="I21" s="50" t="s">
        <v>57</v>
      </c>
      <c r="J21" s="127">
        <f>(D21-F21)*H21</f>
        <v>20000</v>
      </c>
      <c r="K21" s="56" t="s">
        <v>39</v>
      </c>
      <c r="M21" s="12" t="s">
        <v>114</v>
      </c>
      <c r="N21" s="12"/>
      <c r="O21" s="12"/>
      <c r="P21" s="12"/>
      <c r="Q21" s="21">
        <f>SUM(Q6:Q20)</f>
        <v>1256250</v>
      </c>
    </row>
    <row r="22" spans="1:17" ht="15.75" thickTop="1" x14ac:dyDescent="0.25">
      <c r="B22" s="49"/>
      <c r="C22" s="49"/>
      <c r="D22" s="51"/>
      <c r="E22" s="49"/>
      <c r="F22" s="53"/>
      <c r="G22" s="49"/>
      <c r="H22" s="49"/>
      <c r="I22" s="49"/>
      <c r="J22" s="49"/>
      <c r="K22" s="49"/>
    </row>
    <row r="23" spans="1:17" x14ac:dyDescent="0.25">
      <c r="B23" s="49" t="s">
        <v>351</v>
      </c>
      <c r="C23" s="50" t="s">
        <v>57</v>
      </c>
      <c r="D23" s="51" t="s">
        <v>155</v>
      </c>
      <c r="E23" s="52" t="s">
        <v>59</v>
      </c>
      <c r="F23" s="53" t="s">
        <v>62</v>
      </c>
      <c r="G23" s="50" t="s">
        <v>61</v>
      </c>
      <c r="H23" s="51" t="s">
        <v>153</v>
      </c>
      <c r="I23" s="49"/>
      <c r="J23" s="49"/>
      <c r="K23" s="49"/>
      <c r="M23" s="71" t="s">
        <v>381</v>
      </c>
    </row>
    <row r="24" spans="1:17" x14ac:dyDescent="0.25">
      <c r="B24" s="49"/>
      <c r="C24" s="50" t="s">
        <v>57</v>
      </c>
      <c r="D24" s="54">
        <f>48500/2</f>
        <v>24250</v>
      </c>
      <c r="E24" s="52" t="s">
        <v>59</v>
      </c>
      <c r="F24" s="55">
        <v>19400</v>
      </c>
      <c r="G24" s="50" t="s">
        <v>61</v>
      </c>
      <c r="H24" s="56">
        <v>50</v>
      </c>
      <c r="I24" s="50" t="s">
        <v>57</v>
      </c>
      <c r="J24" s="57">
        <f>(D24-F24)*H24</f>
        <v>242500</v>
      </c>
      <c r="K24" s="56" t="s">
        <v>41</v>
      </c>
      <c r="M24" t="s">
        <v>17</v>
      </c>
      <c r="O24" s="128">
        <v>4462000</v>
      </c>
    </row>
    <row r="25" spans="1:17" x14ac:dyDescent="0.25">
      <c r="B25" s="49"/>
      <c r="C25" s="49"/>
      <c r="D25" s="51" t="s">
        <v>354</v>
      </c>
      <c r="E25" s="49"/>
      <c r="F25" s="53"/>
      <c r="G25" s="49"/>
      <c r="H25" s="49"/>
      <c r="I25" s="49"/>
      <c r="J25" s="49"/>
      <c r="K25" s="49"/>
      <c r="M25" t="s">
        <v>382</v>
      </c>
      <c r="O25" s="8">
        <v>-829350</v>
      </c>
    </row>
    <row r="26" spans="1:17" x14ac:dyDescent="0.25">
      <c r="M26" t="s">
        <v>383</v>
      </c>
      <c r="O26" s="8">
        <v>-989400</v>
      </c>
    </row>
    <row r="27" spans="1:17" x14ac:dyDescent="0.25">
      <c r="A27" t="s">
        <v>357</v>
      </c>
      <c r="B27" s="49" t="s">
        <v>358</v>
      </c>
      <c r="C27" s="50" t="s">
        <v>57</v>
      </c>
      <c r="D27" s="51" t="s">
        <v>153</v>
      </c>
      <c r="E27" s="52" t="s">
        <v>59</v>
      </c>
      <c r="F27" s="53" t="s">
        <v>60</v>
      </c>
      <c r="G27" s="50" t="s">
        <v>61</v>
      </c>
      <c r="H27" s="49" t="s">
        <v>352</v>
      </c>
      <c r="I27" s="49"/>
      <c r="J27" s="49"/>
      <c r="K27" s="49"/>
      <c r="M27" t="s">
        <v>9</v>
      </c>
      <c r="O27" s="8">
        <v>-532000</v>
      </c>
    </row>
    <row r="28" spans="1:17" x14ac:dyDescent="0.25">
      <c r="B28" s="49"/>
      <c r="C28" s="50" t="s">
        <v>57</v>
      </c>
      <c r="D28" s="54">
        <v>30</v>
      </c>
      <c r="E28" s="52" t="s">
        <v>59</v>
      </c>
      <c r="F28" s="55">
        <f>532000/19000</f>
        <v>28</v>
      </c>
      <c r="G28" s="50" t="s">
        <v>61</v>
      </c>
      <c r="H28" s="56">
        <v>19000</v>
      </c>
      <c r="I28" s="50" t="s">
        <v>57</v>
      </c>
      <c r="J28" s="127">
        <f>(D28-F28)*H28</f>
        <v>38000</v>
      </c>
      <c r="K28" s="56" t="s">
        <v>41</v>
      </c>
      <c r="M28" t="s">
        <v>10</v>
      </c>
      <c r="O28" s="8">
        <v>-855000</v>
      </c>
    </row>
    <row r="29" spans="1:17" ht="15.75" thickBot="1" x14ac:dyDescent="0.3">
      <c r="B29" s="49"/>
      <c r="C29" s="49"/>
      <c r="D29" s="51"/>
      <c r="E29" s="49"/>
      <c r="F29" s="53" t="s">
        <v>359</v>
      </c>
      <c r="G29" s="49"/>
      <c r="H29" s="49"/>
      <c r="I29" s="49"/>
      <c r="J29" s="49"/>
      <c r="K29" s="49"/>
      <c r="M29" s="12" t="s">
        <v>114</v>
      </c>
      <c r="O29" s="130">
        <f>SUM(O24:O28)</f>
        <v>1256250</v>
      </c>
    </row>
    <row r="30" spans="1:17" ht="15.75" thickTop="1" x14ac:dyDescent="0.25"/>
    <row r="31" spans="1:17" x14ac:dyDescent="0.25">
      <c r="A31" t="s">
        <v>360</v>
      </c>
      <c r="B31" s="49" t="s">
        <v>361</v>
      </c>
      <c r="C31" s="50" t="s">
        <v>57</v>
      </c>
      <c r="D31" s="51" t="s">
        <v>155</v>
      </c>
      <c r="E31" s="52" t="s">
        <v>59</v>
      </c>
      <c r="F31" s="53" t="s">
        <v>353</v>
      </c>
      <c r="G31" s="50" t="s">
        <v>61</v>
      </c>
      <c r="H31" s="51" t="s">
        <v>153</v>
      </c>
      <c r="I31" s="49"/>
      <c r="J31" s="49"/>
      <c r="K31" s="49"/>
    </row>
    <row r="32" spans="1:17" x14ac:dyDescent="0.25">
      <c r="B32" s="49"/>
      <c r="C32" s="50" t="s">
        <v>57</v>
      </c>
      <c r="D32" s="54">
        <f>48500*0.5</f>
        <v>24250</v>
      </c>
      <c r="E32" s="52" t="s">
        <v>59</v>
      </c>
      <c r="F32" s="55">
        <v>19000</v>
      </c>
      <c r="G32" s="50" t="s">
        <v>61</v>
      </c>
      <c r="H32" s="56">
        <v>30</v>
      </c>
      <c r="I32" s="50" t="s">
        <v>57</v>
      </c>
      <c r="J32" s="127">
        <f>(D32-F32)*H32</f>
        <v>157500</v>
      </c>
      <c r="K32" s="56" t="s">
        <v>41</v>
      </c>
    </row>
    <row r="33" spans="1:11" x14ac:dyDescent="0.25">
      <c r="D33" t="s">
        <v>354</v>
      </c>
    </row>
    <row r="35" spans="1:11" x14ac:dyDescent="0.25">
      <c r="A35" t="s">
        <v>362</v>
      </c>
      <c r="B35" t="s">
        <v>363</v>
      </c>
      <c r="C35" s="50" t="s">
        <v>57</v>
      </c>
      <c r="D35" t="s">
        <v>159</v>
      </c>
      <c r="E35" s="52" t="s">
        <v>59</v>
      </c>
      <c r="F35" t="s">
        <v>160</v>
      </c>
    </row>
    <row r="36" spans="1:11" x14ac:dyDescent="0.25">
      <c r="D36" s="8">
        <f>40*51000*0.5</f>
        <v>1020000</v>
      </c>
      <c r="F36" s="8">
        <v>855000</v>
      </c>
      <c r="I36" s="50" t="s">
        <v>57</v>
      </c>
      <c r="J36" s="127">
        <f>D36-F36</f>
        <v>165000</v>
      </c>
      <c r="K36" s="56" t="s">
        <v>41</v>
      </c>
    </row>
    <row r="37" spans="1:11" x14ac:dyDescent="0.25">
      <c r="D37" t="s">
        <v>364</v>
      </c>
    </row>
    <row r="39" spans="1:11" x14ac:dyDescent="0.25">
      <c r="A39" t="s">
        <v>365</v>
      </c>
      <c r="B39" t="s">
        <v>167</v>
      </c>
      <c r="C39" s="50" t="s">
        <v>57</v>
      </c>
      <c r="D39" t="s">
        <v>325</v>
      </c>
      <c r="E39" s="52" t="s">
        <v>59</v>
      </c>
      <c r="F39" t="s">
        <v>318</v>
      </c>
      <c r="G39" s="50" t="s">
        <v>61</v>
      </c>
      <c r="H39" t="s">
        <v>366</v>
      </c>
    </row>
    <row r="40" spans="1:11" x14ac:dyDescent="0.25">
      <c r="D40" s="8">
        <v>51000</v>
      </c>
      <c r="E40" s="52" t="s">
        <v>59</v>
      </c>
      <c r="F40" s="8">
        <v>48500</v>
      </c>
      <c r="G40" s="50" t="s">
        <v>61</v>
      </c>
      <c r="H40" s="8">
        <v>20</v>
      </c>
      <c r="I40" s="50" t="s">
        <v>57</v>
      </c>
      <c r="J40" s="57">
        <f>(D40-F40)*H40</f>
        <v>50000</v>
      </c>
      <c r="K40" s="56" t="s">
        <v>39</v>
      </c>
    </row>
    <row r="42" spans="1:11" x14ac:dyDescent="0.25">
      <c r="B42" t="s">
        <v>167</v>
      </c>
      <c r="C42" s="50" t="s">
        <v>57</v>
      </c>
      <c r="D42" t="s">
        <v>171</v>
      </c>
      <c r="E42" s="52" t="s">
        <v>59</v>
      </c>
      <c r="F42" t="s">
        <v>155</v>
      </c>
      <c r="G42" s="50" t="s">
        <v>61</v>
      </c>
      <c r="H42" t="s">
        <v>172</v>
      </c>
    </row>
    <row r="43" spans="1:11" x14ac:dyDescent="0.25">
      <c r="D43" s="8">
        <f>51000*0.5</f>
        <v>25500</v>
      </c>
      <c r="E43" s="52" t="s">
        <v>59</v>
      </c>
      <c r="F43" s="8">
        <f>48500*0.5</f>
        <v>24250</v>
      </c>
      <c r="G43" s="50" t="s">
        <v>61</v>
      </c>
      <c r="H43" s="8">
        <v>40</v>
      </c>
      <c r="I43" s="50" t="s">
        <v>57</v>
      </c>
      <c r="J43" s="57">
        <f>(D43-F43)*H43</f>
        <v>50000</v>
      </c>
      <c r="K43" s="56" t="s">
        <v>39</v>
      </c>
    </row>
    <row r="44" spans="1:11" x14ac:dyDescent="0.25">
      <c r="D44" t="s">
        <v>367</v>
      </c>
      <c r="F44" t="s">
        <v>368</v>
      </c>
    </row>
    <row r="46" spans="1:11" x14ac:dyDescent="0.25">
      <c r="A46" t="s">
        <v>369</v>
      </c>
      <c r="B46" t="s">
        <v>174</v>
      </c>
      <c r="C46" s="50" t="s">
        <v>57</v>
      </c>
      <c r="D46" t="s">
        <v>171</v>
      </c>
      <c r="E46" s="52" t="s">
        <v>59</v>
      </c>
      <c r="F46" t="s">
        <v>66</v>
      </c>
      <c r="G46" s="50" t="s">
        <v>61</v>
      </c>
      <c r="H46" t="s">
        <v>172</v>
      </c>
    </row>
    <row r="47" spans="1:11" x14ac:dyDescent="0.25">
      <c r="D47" s="8">
        <v>25500</v>
      </c>
      <c r="E47" s="52" t="s">
        <v>59</v>
      </c>
      <c r="F47" s="8">
        <v>19000</v>
      </c>
      <c r="G47" s="50" t="s">
        <v>61</v>
      </c>
      <c r="H47" s="8">
        <v>40</v>
      </c>
      <c r="I47" s="50" t="s">
        <v>57</v>
      </c>
      <c r="J47" s="127">
        <f>(D47-F47)*H47</f>
        <v>260000</v>
      </c>
      <c r="K47" s="56" t="s">
        <v>39</v>
      </c>
    </row>
    <row r="48" spans="1:11" x14ac:dyDescent="0.25">
      <c r="D48" t="s">
        <v>367</v>
      </c>
    </row>
    <row r="50" spans="1:11" x14ac:dyDescent="0.25">
      <c r="A50" t="s">
        <v>370</v>
      </c>
      <c r="B50" t="s">
        <v>175</v>
      </c>
      <c r="C50" s="50" t="s">
        <v>57</v>
      </c>
      <c r="D50" t="s">
        <v>155</v>
      </c>
      <c r="E50" s="52" t="s">
        <v>59</v>
      </c>
      <c r="F50" t="s">
        <v>66</v>
      </c>
      <c r="G50" s="50" t="s">
        <v>61</v>
      </c>
      <c r="H50" t="s">
        <v>172</v>
      </c>
    </row>
    <row r="51" spans="1:11" x14ac:dyDescent="0.25">
      <c r="D51" s="8">
        <f>48500*0.5</f>
        <v>24250</v>
      </c>
      <c r="E51" s="52" t="s">
        <v>59</v>
      </c>
      <c r="F51" s="8">
        <v>19000</v>
      </c>
      <c r="G51" s="50" t="s">
        <v>61</v>
      </c>
      <c r="H51" s="8">
        <v>40</v>
      </c>
      <c r="I51" s="50" t="s">
        <v>57</v>
      </c>
      <c r="J51" s="127">
        <f>(D51-F51)*H51</f>
        <v>210000</v>
      </c>
      <c r="K51" s="56" t="s">
        <v>41</v>
      </c>
    </row>
    <row r="52" spans="1:11" x14ac:dyDescent="0.25">
      <c r="D52" t="s">
        <v>368</v>
      </c>
    </row>
    <row r="54" spans="1:11" x14ac:dyDescent="0.25">
      <c r="A54" t="s">
        <v>371</v>
      </c>
      <c r="B54" s="49" t="s">
        <v>317</v>
      </c>
      <c r="C54" s="50" t="s">
        <v>57</v>
      </c>
      <c r="D54" s="51" t="s">
        <v>372</v>
      </c>
      <c r="E54" s="52" t="s">
        <v>59</v>
      </c>
      <c r="F54" s="53" t="s">
        <v>373</v>
      </c>
      <c r="G54" s="50" t="s">
        <v>61</v>
      </c>
      <c r="H54" s="49" t="s">
        <v>318</v>
      </c>
      <c r="I54" s="49"/>
      <c r="J54" s="49"/>
      <c r="K54" s="49"/>
    </row>
    <row r="55" spans="1:11" x14ac:dyDescent="0.25">
      <c r="B55" s="49"/>
      <c r="C55" s="50" t="s">
        <v>57</v>
      </c>
      <c r="D55" s="54">
        <v>14</v>
      </c>
      <c r="E55" s="52" t="s">
        <v>59</v>
      </c>
      <c r="F55" s="55">
        <f>(4462000/48500)-76</f>
        <v>16</v>
      </c>
      <c r="G55" s="50" t="s">
        <v>61</v>
      </c>
      <c r="H55" s="56">
        <v>48500</v>
      </c>
      <c r="I55" s="50" t="s">
        <v>57</v>
      </c>
      <c r="J55" s="127">
        <f>(F55-D55)*H55</f>
        <v>97000</v>
      </c>
      <c r="K55" s="56" t="s">
        <v>41</v>
      </c>
    </row>
    <row r="56" spans="1:11" x14ac:dyDescent="0.25">
      <c r="B56" s="49"/>
      <c r="C56" s="49"/>
      <c r="D56" s="51"/>
      <c r="E56" s="49"/>
      <c r="F56" s="53" t="s">
        <v>374</v>
      </c>
      <c r="G56" s="49"/>
      <c r="H56" s="49"/>
      <c r="I56" s="49"/>
      <c r="J56" s="49"/>
      <c r="K56" s="49"/>
    </row>
    <row r="58" spans="1:11" x14ac:dyDescent="0.25">
      <c r="A58" t="s">
        <v>375</v>
      </c>
      <c r="B58" t="s">
        <v>324</v>
      </c>
      <c r="C58" s="50" t="s">
        <v>57</v>
      </c>
      <c r="D58" s="51" t="s">
        <v>325</v>
      </c>
      <c r="E58" s="52" t="s">
        <v>59</v>
      </c>
      <c r="F58" s="53" t="s">
        <v>318</v>
      </c>
      <c r="G58" s="50" t="s">
        <v>61</v>
      </c>
      <c r="H58" s="51" t="s">
        <v>372</v>
      </c>
    </row>
    <row r="59" spans="1:11" x14ac:dyDescent="0.25">
      <c r="D59" s="8">
        <v>51000</v>
      </c>
      <c r="E59" s="52" t="s">
        <v>59</v>
      </c>
      <c r="F59" s="8">
        <v>48500</v>
      </c>
      <c r="G59" s="50" t="s">
        <v>61</v>
      </c>
      <c r="H59">
        <v>14</v>
      </c>
      <c r="I59" s="50" t="s">
        <v>57</v>
      </c>
      <c r="J59" s="126">
        <f>(D59-F59)*H59</f>
        <v>35000</v>
      </c>
      <c r="K59" t="s">
        <v>39</v>
      </c>
    </row>
  </sheetData>
  <mergeCells count="1">
    <mergeCell ref="M3:Q3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workbookViewId="0">
      <selection activeCell="L22" sqref="L22"/>
    </sheetView>
  </sheetViews>
  <sheetFormatPr defaultRowHeight="15" x14ac:dyDescent="0.25"/>
  <cols>
    <col min="1" max="1" width="3.28515625" customWidth="1"/>
    <col min="2" max="2" width="11.28515625" customWidth="1"/>
    <col min="3" max="3" width="3.5703125" customWidth="1"/>
    <col min="4" max="4" width="12.7109375" customWidth="1"/>
    <col min="5" max="5" width="4" customWidth="1"/>
    <col min="6" max="6" width="16.140625" customWidth="1"/>
    <col min="7" max="7" width="3.85546875" customWidth="1"/>
    <col min="8" max="8" width="17.42578125" customWidth="1"/>
    <col min="9" max="9" width="3" style="69" customWidth="1"/>
    <col min="10" max="10" width="11.42578125" customWidth="1"/>
    <col min="11" max="11" width="3.7109375" style="8" bestFit="1" customWidth="1"/>
    <col min="13" max="13" width="28.85546875" customWidth="1"/>
    <col min="15" max="15" width="10.5703125" bestFit="1" customWidth="1"/>
    <col min="16" max="16" width="10.42578125" customWidth="1"/>
    <col min="17" max="17" width="12.28515625" bestFit="1" customWidth="1"/>
  </cols>
  <sheetData>
    <row r="2" spans="1:17" x14ac:dyDescent="0.25">
      <c r="A2" s="9" t="s">
        <v>384</v>
      </c>
    </row>
    <row r="4" spans="1:17" x14ac:dyDescent="0.25">
      <c r="A4" t="s">
        <v>343</v>
      </c>
      <c r="B4" s="49" t="s">
        <v>186</v>
      </c>
      <c r="C4" s="50" t="s">
        <v>57</v>
      </c>
      <c r="D4" s="51" t="s">
        <v>134</v>
      </c>
      <c r="E4" s="52" t="s">
        <v>59</v>
      </c>
      <c r="F4" s="53" t="s">
        <v>135</v>
      </c>
      <c r="G4" s="50" t="s">
        <v>61</v>
      </c>
      <c r="H4" s="49" t="s">
        <v>136</v>
      </c>
      <c r="I4" s="49"/>
      <c r="J4" s="49"/>
      <c r="M4" s="148" t="s">
        <v>395</v>
      </c>
      <c r="N4" s="148"/>
      <c r="O4" s="148"/>
      <c r="P4" s="148"/>
      <c r="Q4" s="148"/>
    </row>
    <row r="5" spans="1:17" x14ac:dyDescent="0.25">
      <c r="B5" s="49"/>
      <c r="C5" s="50" t="s">
        <v>57</v>
      </c>
      <c r="D5" s="54">
        <v>30</v>
      </c>
      <c r="E5" s="52" t="s">
        <v>59</v>
      </c>
      <c r="F5" s="55">
        <f>120450/3650</f>
        <v>33</v>
      </c>
      <c r="G5" s="50" t="s">
        <v>61</v>
      </c>
      <c r="H5" s="56">
        <v>3650</v>
      </c>
      <c r="I5" s="50" t="s">
        <v>57</v>
      </c>
      <c r="J5" s="132">
        <f>(F5-D5)*H5</f>
        <v>10950</v>
      </c>
      <c r="K5" s="8" t="s">
        <v>39</v>
      </c>
      <c r="M5" t="s">
        <v>397</v>
      </c>
      <c r="N5" t="s">
        <v>396</v>
      </c>
      <c r="Q5" s="8">
        <f>1000*440</f>
        <v>440000</v>
      </c>
    </row>
    <row r="6" spans="1:17" x14ac:dyDescent="0.25">
      <c r="B6" s="49"/>
      <c r="C6" s="49"/>
      <c r="D6" s="51"/>
      <c r="E6" s="49"/>
      <c r="F6" s="53" t="s">
        <v>385</v>
      </c>
      <c r="G6" s="49"/>
      <c r="H6" s="49"/>
      <c r="I6" s="49"/>
      <c r="J6" s="49"/>
      <c r="M6" t="s">
        <v>394</v>
      </c>
      <c r="Q6" s="125">
        <f>-J33</f>
        <v>-17600</v>
      </c>
    </row>
    <row r="7" spans="1:17" x14ac:dyDescent="0.25">
      <c r="B7" s="49"/>
      <c r="C7" s="49"/>
      <c r="D7" s="49"/>
      <c r="E7" s="49"/>
      <c r="F7" s="49"/>
      <c r="G7" s="49"/>
      <c r="H7" s="49"/>
      <c r="I7" s="49"/>
      <c r="J7" s="49"/>
      <c r="M7" t="s">
        <v>398</v>
      </c>
      <c r="N7" t="s">
        <v>399</v>
      </c>
      <c r="Q7" s="11">
        <f>SUM(Q5:Q6)</f>
        <v>422400</v>
      </c>
    </row>
    <row r="8" spans="1:17" x14ac:dyDescent="0.25">
      <c r="A8" t="s">
        <v>345</v>
      </c>
      <c r="B8" s="49" t="s">
        <v>188</v>
      </c>
      <c r="C8" s="50" t="s">
        <v>57</v>
      </c>
      <c r="D8" s="51" t="s">
        <v>141</v>
      </c>
      <c r="E8" s="52" t="s">
        <v>59</v>
      </c>
      <c r="F8" s="53" t="s">
        <v>142</v>
      </c>
      <c r="G8" s="50" t="s">
        <v>61</v>
      </c>
      <c r="H8" s="51" t="s">
        <v>134</v>
      </c>
      <c r="I8" s="49"/>
      <c r="J8" s="49"/>
    </row>
    <row r="9" spans="1:17" x14ac:dyDescent="0.25">
      <c r="B9" s="49"/>
      <c r="C9" s="50" t="s">
        <v>57</v>
      </c>
      <c r="D9" s="54">
        <f>960*4</f>
        <v>3840</v>
      </c>
      <c r="E9" s="52" t="s">
        <v>59</v>
      </c>
      <c r="F9" s="55">
        <v>3650</v>
      </c>
      <c r="G9" s="50" t="s">
        <v>61</v>
      </c>
      <c r="H9" s="56">
        <v>30</v>
      </c>
      <c r="I9" s="50" t="s">
        <v>57</v>
      </c>
      <c r="J9" s="132">
        <f>(D9-F9)*H9</f>
        <v>5700</v>
      </c>
      <c r="K9" s="8" t="s">
        <v>41</v>
      </c>
      <c r="M9" s="71" t="s">
        <v>379</v>
      </c>
      <c r="N9" s="71"/>
      <c r="O9" s="72" t="s">
        <v>39</v>
      </c>
      <c r="P9" s="72" t="s">
        <v>41</v>
      </c>
    </row>
    <row r="10" spans="1:17" x14ac:dyDescent="0.25">
      <c r="B10" s="49"/>
      <c r="C10" s="49"/>
      <c r="D10" s="51" t="s">
        <v>386</v>
      </c>
      <c r="E10" s="49"/>
      <c r="F10" s="53"/>
      <c r="G10" s="49"/>
      <c r="H10" s="49"/>
      <c r="I10" s="49"/>
      <c r="J10" s="49"/>
      <c r="M10" t="s">
        <v>241</v>
      </c>
      <c r="O10" s="11">
        <f>+J5</f>
        <v>10950</v>
      </c>
    </row>
    <row r="11" spans="1:17" x14ac:dyDescent="0.25">
      <c r="I11"/>
      <c r="M11" t="s">
        <v>244</v>
      </c>
      <c r="P11" s="11">
        <f>+J9</f>
        <v>5700</v>
      </c>
    </row>
    <row r="12" spans="1:17" x14ac:dyDescent="0.25">
      <c r="A12" t="s">
        <v>347</v>
      </c>
      <c r="B12" s="49" t="s">
        <v>348</v>
      </c>
      <c r="C12" s="50" t="s">
        <v>57</v>
      </c>
      <c r="D12" s="51" t="s">
        <v>153</v>
      </c>
      <c r="E12" s="52" t="s">
        <v>59</v>
      </c>
      <c r="F12" s="53" t="s">
        <v>60</v>
      </c>
      <c r="G12" s="50" t="s">
        <v>61</v>
      </c>
      <c r="H12" s="49" t="s">
        <v>282</v>
      </c>
      <c r="I12" s="49"/>
      <c r="J12" s="49"/>
      <c r="M12" t="s">
        <v>56</v>
      </c>
      <c r="O12" s="11"/>
      <c r="P12" s="11">
        <f>+J13</f>
        <v>7300</v>
      </c>
    </row>
    <row r="13" spans="1:17" x14ac:dyDescent="0.25">
      <c r="B13" s="49"/>
      <c r="C13" s="50" t="s">
        <v>57</v>
      </c>
      <c r="D13" s="54">
        <v>100</v>
      </c>
      <c r="E13" s="52" t="s">
        <v>59</v>
      </c>
      <c r="F13" s="55">
        <f>175200/1825</f>
        <v>96</v>
      </c>
      <c r="G13" s="50" t="s">
        <v>61</v>
      </c>
      <c r="H13" s="56">
        <v>1825</v>
      </c>
      <c r="I13" s="50" t="s">
        <v>57</v>
      </c>
      <c r="J13" s="132">
        <f>(D13-F13)*H13</f>
        <v>7300</v>
      </c>
      <c r="K13" s="8" t="s">
        <v>41</v>
      </c>
      <c r="M13" t="s">
        <v>64</v>
      </c>
      <c r="P13" s="11">
        <f>+J17</f>
        <v>9500</v>
      </c>
    </row>
    <row r="14" spans="1:17" x14ac:dyDescent="0.25">
      <c r="B14" s="49"/>
      <c r="C14" s="49"/>
      <c r="D14" s="51"/>
      <c r="E14" s="49"/>
      <c r="F14" s="53" t="s">
        <v>387</v>
      </c>
      <c r="G14" s="49"/>
      <c r="H14" s="49"/>
      <c r="I14" s="49"/>
      <c r="J14" s="49"/>
      <c r="M14" t="s">
        <v>358</v>
      </c>
      <c r="O14" s="11">
        <f>+J21</f>
        <v>7300</v>
      </c>
      <c r="P14" s="11"/>
    </row>
    <row r="15" spans="1:17" x14ac:dyDescent="0.25">
      <c r="I15"/>
      <c r="M15" t="s">
        <v>361</v>
      </c>
      <c r="P15" s="11">
        <f>+J25</f>
        <v>1900</v>
      </c>
    </row>
    <row r="16" spans="1:17" x14ac:dyDescent="0.25">
      <c r="A16" t="s">
        <v>350</v>
      </c>
      <c r="B16" s="49" t="s">
        <v>351</v>
      </c>
      <c r="C16" s="50" t="s">
        <v>57</v>
      </c>
      <c r="D16" s="51" t="s">
        <v>155</v>
      </c>
      <c r="E16" s="52" t="s">
        <v>59</v>
      </c>
      <c r="F16" s="53" t="s">
        <v>353</v>
      </c>
      <c r="G16" s="50" t="s">
        <v>61</v>
      </c>
      <c r="H16" s="51" t="s">
        <v>153</v>
      </c>
      <c r="I16" s="49"/>
      <c r="J16" s="49"/>
      <c r="M16" t="s">
        <v>390</v>
      </c>
      <c r="P16" s="11">
        <f>+J29</f>
        <v>9600</v>
      </c>
    </row>
    <row r="17" spans="1:17" x14ac:dyDescent="0.25">
      <c r="B17" s="49"/>
      <c r="C17" s="50" t="s">
        <v>57</v>
      </c>
      <c r="D17" s="54">
        <f>2*960</f>
        <v>1920</v>
      </c>
      <c r="E17" s="52" t="s">
        <v>59</v>
      </c>
      <c r="F17" s="55">
        <v>1825</v>
      </c>
      <c r="G17" s="50" t="s">
        <v>61</v>
      </c>
      <c r="H17" s="56">
        <v>100</v>
      </c>
      <c r="I17" s="50" t="s">
        <v>57</v>
      </c>
      <c r="J17" s="132">
        <f>(D17-F17)*100</f>
        <v>9500</v>
      </c>
      <c r="K17" s="8" t="s">
        <v>41</v>
      </c>
      <c r="O17" s="11">
        <f>SUM(O10:O16)</f>
        <v>18250</v>
      </c>
      <c r="P17" s="11">
        <f>SUM(P10:P16)</f>
        <v>34000</v>
      </c>
      <c r="Q17" s="125">
        <f>+P17-O17</f>
        <v>15750</v>
      </c>
    </row>
    <row r="18" spans="1:17" x14ac:dyDescent="0.25">
      <c r="B18" s="49"/>
      <c r="C18" s="49"/>
      <c r="D18" s="51" t="s">
        <v>388</v>
      </c>
      <c r="E18" s="49"/>
      <c r="F18" s="53"/>
      <c r="G18" s="49"/>
      <c r="H18" s="49"/>
      <c r="I18" s="49"/>
      <c r="J18" s="49"/>
      <c r="M18" s="12" t="s">
        <v>400</v>
      </c>
      <c r="N18" s="12"/>
      <c r="O18" s="12"/>
      <c r="P18" s="12"/>
      <c r="Q18" s="133">
        <f>SUM(Q7:Q17)</f>
        <v>438150</v>
      </c>
    </row>
    <row r="19" spans="1:17" x14ac:dyDescent="0.25">
      <c r="I19"/>
      <c r="M19" t="s">
        <v>401</v>
      </c>
      <c r="Q19" s="8">
        <v>-140000</v>
      </c>
    </row>
    <row r="20" spans="1:17" ht="15.75" thickBot="1" x14ac:dyDescent="0.3">
      <c r="A20" t="s">
        <v>355</v>
      </c>
      <c r="B20" s="49" t="s">
        <v>358</v>
      </c>
      <c r="C20" s="50" t="s">
        <v>57</v>
      </c>
      <c r="D20" s="51" t="s">
        <v>153</v>
      </c>
      <c r="E20" s="52" t="s">
        <v>59</v>
      </c>
      <c r="F20" s="53" t="s">
        <v>60</v>
      </c>
      <c r="G20" s="50" t="s">
        <v>61</v>
      </c>
      <c r="H20" s="49" t="s">
        <v>352</v>
      </c>
      <c r="I20" s="49"/>
      <c r="J20" s="49"/>
      <c r="M20" s="12" t="s">
        <v>114</v>
      </c>
      <c r="N20" s="2"/>
      <c r="O20" s="2"/>
      <c r="P20" s="2"/>
      <c r="Q20" s="21">
        <f>SUM(Q18:Q19)</f>
        <v>298150</v>
      </c>
    </row>
    <row r="21" spans="1:17" ht="15.75" thickTop="1" x14ac:dyDescent="0.25">
      <c r="B21" s="49"/>
      <c r="C21" s="50" t="s">
        <v>57</v>
      </c>
      <c r="D21" s="54">
        <v>20</v>
      </c>
      <c r="E21" s="52" t="s">
        <v>59</v>
      </c>
      <c r="F21" s="55">
        <f>43800/1825</f>
        <v>24</v>
      </c>
      <c r="G21" s="50" t="s">
        <v>61</v>
      </c>
      <c r="H21" s="56">
        <v>1825</v>
      </c>
      <c r="I21" s="50" t="s">
        <v>57</v>
      </c>
      <c r="J21" s="132">
        <f>(F21-D21)*H21</f>
        <v>7300</v>
      </c>
      <c r="K21" s="8" t="s">
        <v>39</v>
      </c>
    </row>
    <row r="22" spans="1:17" x14ac:dyDescent="0.25">
      <c r="B22" s="49"/>
      <c r="C22" s="49"/>
      <c r="D22" s="51"/>
      <c r="E22" s="49"/>
      <c r="F22" s="53" t="s">
        <v>389</v>
      </c>
      <c r="G22" s="49"/>
      <c r="H22" s="49"/>
      <c r="I22" s="49"/>
      <c r="J22" s="49"/>
      <c r="M22" s="148" t="s">
        <v>395</v>
      </c>
      <c r="N22" s="148"/>
      <c r="O22" s="148"/>
      <c r="P22" s="148"/>
      <c r="Q22" s="148"/>
    </row>
    <row r="23" spans="1:17" x14ac:dyDescent="0.25">
      <c r="I23"/>
      <c r="M23" t="s">
        <v>397</v>
      </c>
      <c r="N23" t="s">
        <v>396</v>
      </c>
      <c r="Q23" s="8">
        <v>440000</v>
      </c>
    </row>
    <row r="24" spans="1:17" x14ac:dyDescent="0.25">
      <c r="A24" t="s">
        <v>357</v>
      </c>
      <c r="B24" s="49" t="s">
        <v>361</v>
      </c>
      <c r="C24" s="50" t="s">
        <v>57</v>
      </c>
      <c r="D24" s="51" t="s">
        <v>155</v>
      </c>
      <c r="E24" s="52" t="s">
        <v>59</v>
      </c>
      <c r="F24" s="53" t="s">
        <v>353</v>
      </c>
      <c r="G24" s="50" t="s">
        <v>61</v>
      </c>
      <c r="H24" s="51" t="s">
        <v>153</v>
      </c>
      <c r="I24" s="49"/>
      <c r="J24" s="49"/>
      <c r="M24" t="s">
        <v>394</v>
      </c>
      <c r="Q24" s="125">
        <v>-17600</v>
      </c>
    </row>
    <row r="25" spans="1:17" x14ac:dyDescent="0.25">
      <c r="B25" s="49"/>
      <c r="C25" s="50" t="s">
        <v>57</v>
      </c>
      <c r="D25" s="54">
        <f>2*960</f>
        <v>1920</v>
      </c>
      <c r="E25" s="52" t="s">
        <v>59</v>
      </c>
      <c r="F25" s="55">
        <v>1825</v>
      </c>
      <c r="G25" s="50" t="s">
        <v>61</v>
      </c>
      <c r="H25" s="56">
        <v>20</v>
      </c>
      <c r="I25" s="50" t="s">
        <v>57</v>
      </c>
      <c r="J25" s="132">
        <f>(D25-F25)*20</f>
        <v>1900</v>
      </c>
      <c r="K25" s="8" t="s">
        <v>41</v>
      </c>
      <c r="M25" t="s">
        <v>398</v>
      </c>
      <c r="N25" t="s">
        <v>399</v>
      </c>
      <c r="Q25" s="11">
        <v>422400</v>
      </c>
    </row>
    <row r="26" spans="1:17" x14ac:dyDescent="0.25">
      <c r="D26" s="131" t="s">
        <v>388</v>
      </c>
    </row>
    <row r="27" spans="1:17" x14ac:dyDescent="0.25">
      <c r="M27" s="71" t="s">
        <v>379</v>
      </c>
      <c r="N27" s="71"/>
      <c r="O27" s="72" t="s">
        <v>39</v>
      </c>
      <c r="P27" s="72" t="s">
        <v>41</v>
      </c>
    </row>
    <row r="28" spans="1:17" x14ac:dyDescent="0.25">
      <c r="A28" t="s">
        <v>360</v>
      </c>
      <c r="B28" s="49" t="s">
        <v>390</v>
      </c>
      <c r="C28" s="50" t="s">
        <v>57</v>
      </c>
      <c r="D28" s="51" t="s">
        <v>391</v>
      </c>
      <c r="E28" s="52" t="s">
        <v>59</v>
      </c>
      <c r="F28" s="53" t="s">
        <v>392</v>
      </c>
      <c r="G28" s="50" t="s">
        <v>61</v>
      </c>
      <c r="H28" s="49" t="s">
        <v>318</v>
      </c>
      <c r="I28" s="49"/>
      <c r="J28" s="49"/>
      <c r="K28" s="56"/>
      <c r="M28" t="s">
        <v>241</v>
      </c>
      <c r="O28" s="11">
        <v>10950</v>
      </c>
    </row>
    <row r="29" spans="1:17" x14ac:dyDescent="0.25">
      <c r="B29" s="49"/>
      <c r="C29" s="50" t="s">
        <v>57</v>
      </c>
      <c r="D29" s="54">
        <v>440</v>
      </c>
      <c r="E29" s="52" t="s">
        <v>59</v>
      </c>
      <c r="F29" s="55">
        <f>(777600/960)-360</f>
        <v>450</v>
      </c>
      <c r="G29" s="50" t="s">
        <v>61</v>
      </c>
      <c r="H29" s="56">
        <v>960</v>
      </c>
      <c r="I29" s="50" t="s">
        <v>57</v>
      </c>
      <c r="J29" s="127">
        <f>(F29-D29)*H29</f>
        <v>9600</v>
      </c>
      <c r="K29" s="56" t="s">
        <v>41</v>
      </c>
      <c r="M29" t="s">
        <v>244</v>
      </c>
      <c r="P29" s="11">
        <v>5700</v>
      </c>
    </row>
    <row r="30" spans="1:17" x14ac:dyDescent="0.25">
      <c r="F30" t="s">
        <v>393</v>
      </c>
      <c r="M30" t="s">
        <v>56</v>
      </c>
      <c r="O30" s="11"/>
      <c r="P30" s="11">
        <v>7300</v>
      </c>
    </row>
    <row r="31" spans="1:17" x14ac:dyDescent="0.25">
      <c r="M31" t="s">
        <v>64</v>
      </c>
      <c r="P31" s="11">
        <v>9500</v>
      </c>
    </row>
    <row r="32" spans="1:17" x14ac:dyDescent="0.25">
      <c r="A32" t="s">
        <v>362</v>
      </c>
      <c r="B32" s="49" t="s">
        <v>394</v>
      </c>
      <c r="C32" s="50" t="s">
        <v>57</v>
      </c>
      <c r="D32" s="51" t="s">
        <v>325</v>
      </c>
      <c r="E32" s="52" t="s">
        <v>59</v>
      </c>
      <c r="F32" s="53" t="s">
        <v>318</v>
      </c>
      <c r="G32" s="50" t="s">
        <v>61</v>
      </c>
      <c r="H32" s="51" t="s">
        <v>391</v>
      </c>
      <c r="I32" s="49"/>
      <c r="J32" s="49"/>
      <c r="K32" s="56"/>
      <c r="M32" t="s">
        <v>358</v>
      </c>
      <c r="O32" s="11">
        <v>7300</v>
      </c>
      <c r="P32" s="11"/>
    </row>
    <row r="33" spans="2:17" x14ac:dyDescent="0.25">
      <c r="B33" s="49"/>
      <c r="C33" s="50" t="s">
        <v>57</v>
      </c>
      <c r="D33" s="54">
        <v>1000</v>
      </c>
      <c r="E33" s="52" t="s">
        <v>59</v>
      </c>
      <c r="F33" s="55">
        <v>960</v>
      </c>
      <c r="G33" s="50" t="s">
        <v>61</v>
      </c>
      <c r="H33" s="56">
        <v>440</v>
      </c>
      <c r="I33" s="50" t="s">
        <v>57</v>
      </c>
      <c r="J33" s="127">
        <f>(D33-F33)*H33</f>
        <v>17600</v>
      </c>
      <c r="K33" s="56" t="s">
        <v>39</v>
      </c>
      <c r="M33" t="s">
        <v>361</v>
      </c>
      <c r="P33" s="11">
        <v>1900</v>
      </c>
    </row>
    <row r="34" spans="2:17" x14ac:dyDescent="0.25">
      <c r="M34" t="s">
        <v>390</v>
      </c>
      <c r="P34" s="11">
        <v>9600</v>
      </c>
    </row>
    <row r="35" spans="2:17" x14ac:dyDescent="0.25">
      <c r="O35" s="11">
        <v>18250</v>
      </c>
      <c r="P35" s="11">
        <v>34000</v>
      </c>
      <c r="Q35" s="125">
        <v>15750</v>
      </c>
    </row>
    <row r="36" spans="2:17" x14ac:dyDescent="0.25">
      <c r="M36" s="12" t="s">
        <v>400</v>
      </c>
      <c r="N36" s="12"/>
      <c r="O36" s="12"/>
      <c r="P36" s="12"/>
      <c r="Q36" s="133">
        <v>438150</v>
      </c>
    </row>
    <row r="37" spans="2:17" x14ac:dyDescent="0.25">
      <c r="M37" t="s">
        <v>403</v>
      </c>
      <c r="Q37" s="8">
        <v>-150000</v>
      </c>
    </row>
    <row r="38" spans="2:17" x14ac:dyDescent="0.25">
      <c r="M38" t="s">
        <v>363</v>
      </c>
      <c r="Q38" s="8">
        <v>10000</v>
      </c>
    </row>
    <row r="39" spans="2:17" ht="15.75" thickBot="1" x14ac:dyDescent="0.3">
      <c r="M39" s="12" t="s">
        <v>114</v>
      </c>
      <c r="N39" s="2"/>
      <c r="O39" s="2"/>
      <c r="P39" s="2"/>
      <c r="Q39" s="21">
        <f>SUM(Q36:Q38)</f>
        <v>298150</v>
      </c>
    </row>
    <row r="40" spans="2:17" ht="15.75" thickTop="1" x14ac:dyDescent="0.25"/>
  </sheetData>
  <mergeCells count="2">
    <mergeCell ref="M4:Q4"/>
    <mergeCell ref="M22:Q2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7"/>
  <sheetViews>
    <sheetView workbookViewId="0">
      <selection activeCell="G22" sqref="G22"/>
    </sheetView>
  </sheetViews>
  <sheetFormatPr defaultRowHeight="15" x14ac:dyDescent="0.25"/>
  <cols>
    <col min="1" max="1" width="16.5703125" bestFit="1" customWidth="1"/>
    <col min="2" max="2" width="11.85546875" customWidth="1"/>
    <col min="3" max="3" width="11.7109375" customWidth="1"/>
    <col min="4" max="4" width="11.5703125" customWidth="1"/>
    <col min="5" max="5" width="19.140625" customWidth="1"/>
    <col min="6" max="6" width="14.85546875" customWidth="1"/>
    <col min="7" max="7" width="16.7109375" customWidth="1"/>
    <col min="8" max="8" width="5.42578125" customWidth="1"/>
    <col min="9" max="9" width="12.28515625" style="69" bestFit="1" customWidth="1"/>
    <col min="10" max="10" width="3.5703125" style="69" customWidth="1"/>
    <col min="11" max="11" width="35.7109375" customWidth="1"/>
    <col min="12" max="12" width="12.140625" customWidth="1"/>
    <col min="13" max="13" width="11.5703125" bestFit="1" customWidth="1"/>
    <col min="14" max="14" width="10.5703125" bestFit="1" customWidth="1"/>
    <col min="15" max="15" width="12.28515625" bestFit="1" customWidth="1"/>
  </cols>
  <sheetData>
    <row r="2" spans="1:16" x14ac:dyDescent="0.25">
      <c r="A2" s="9" t="s">
        <v>404</v>
      </c>
      <c r="B2" s="9" t="s">
        <v>405</v>
      </c>
      <c r="K2" t="s">
        <v>430</v>
      </c>
    </row>
    <row r="3" spans="1:16" x14ac:dyDescent="0.25">
      <c r="K3" s="148" t="s">
        <v>380</v>
      </c>
      <c r="L3" s="148"/>
      <c r="M3" s="148"/>
      <c r="N3" s="148"/>
      <c r="O3" s="148"/>
    </row>
    <row r="4" spans="1:16" x14ac:dyDescent="0.25">
      <c r="D4" s="136" t="s">
        <v>406</v>
      </c>
      <c r="E4" s="136"/>
      <c r="F4" s="136"/>
      <c r="G4" s="136" t="s">
        <v>407</v>
      </c>
      <c r="K4" t="s">
        <v>113</v>
      </c>
      <c r="L4" t="s">
        <v>428</v>
      </c>
      <c r="O4" s="8">
        <f>+D14</f>
        <v>787500</v>
      </c>
    </row>
    <row r="5" spans="1:16" x14ac:dyDescent="0.25">
      <c r="A5" t="s">
        <v>408</v>
      </c>
      <c r="D5" s="128">
        <v>10000</v>
      </c>
      <c r="G5" s="128">
        <v>8000</v>
      </c>
      <c r="K5" t="s">
        <v>324</v>
      </c>
      <c r="O5" s="125">
        <f>-I53</f>
        <v>-157500</v>
      </c>
      <c r="P5" t="s">
        <v>39</v>
      </c>
    </row>
    <row r="6" spans="1:16" x14ac:dyDescent="0.25">
      <c r="A6" t="s">
        <v>409</v>
      </c>
      <c r="D6" s="128">
        <v>7500</v>
      </c>
      <c r="G6" s="128">
        <v>6000</v>
      </c>
      <c r="K6" t="s">
        <v>377</v>
      </c>
      <c r="L6" t="s">
        <v>378</v>
      </c>
      <c r="O6" s="11">
        <f>SUM(O4:O5)</f>
        <v>630000</v>
      </c>
    </row>
    <row r="7" spans="1:16" x14ac:dyDescent="0.25">
      <c r="A7" t="s">
        <v>410</v>
      </c>
      <c r="D7" s="128">
        <v>2500</v>
      </c>
      <c r="G7" s="128">
        <v>2000</v>
      </c>
    </row>
    <row r="8" spans="1:16" x14ac:dyDescent="0.25">
      <c r="A8" t="s">
        <v>411</v>
      </c>
      <c r="D8" s="8">
        <v>300</v>
      </c>
      <c r="G8" s="8">
        <v>260</v>
      </c>
      <c r="K8" s="71" t="s">
        <v>379</v>
      </c>
      <c r="L8" s="71"/>
      <c r="M8" s="72" t="s">
        <v>39</v>
      </c>
      <c r="N8" s="72" t="s">
        <v>41</v>
      </c>
    </row>
    <row r="9" spans="1:16" x14ac:dyDescent="0.25">
      <c r="K9" t="s">
        <v>241</v>
      </c>
      <c r="M9" s="11">
        <f>+I18</f>
        <v>19999.999999999927</v>
      </c>
    </row>
    <row r="10" spans="1:16" x14ac:dyDescent="0.25">
      <c r="A10" t="s">
        <v>412</v>
      </c>
      <c r="D10" s="129">
        <f>+D6*D8</f>
        <v>2250000</v>
      </c>
      <c r="G10" s="129">
        <f>+G6*G8</f>
        <v>1560000</v>
      </c>
      <c r="K10" t="s">
        <v>244</v>
      </c>
      <c r="M10" s="137">
        <f>+I22</f>
        <v>40000</v>
      </c>
      <c r="N10" s="11">
        <f>+H9</f>
        <v>0</v>
      </c>
    </row>
    <row r="11" spans="1:16" x14ac:dyDescent="0.25">
      <c r="A11" t="s">
        <v>413</v>
      </c>
      <c r="B11" t="s">
        <v>414</v>
      </c>
      <c r="C11" s="129">
        <f>195*D5</f>
        <v>1950000</v>
      </c>
      <c r="E11" t="s">
        <v>418</v>
      </c>
      <c r="F11" s="128">
        <f>-(700000+330900+400000+500000)</f>
        <v>-1930900</v>
      </c>
      <c r="K11" t="s">
        <v>56</v>
      </c>
      <c r="M11" s="11">
        <f>+I26</f>
        <v>114899.99999999999</v>
      </c>
    </row>
    <row r="12" spans="1:16" x14ac:dyDescent="0.25">
      <c r="A12" t="s">
        <v>415</v>
      </c>
      <c r="B12" t="s">
        <v>416</v>
      </c>
      <c r="C12" s="134">
        <f>-195*D7</f>
        <v>-487500</v>
      </c>
      <c r="E12" s="138" t="s">
        <v>419</v>
      </c>
      <c r="F12" s="135">
        <f>2000*195</f>
        <v>390000</v>
      </c>
      <c r="K12" t="s">
        <v>64</v>
      </c>
      <c r="N12" s="11">
        <f>+I30</f>
        <v>24000</v>
      </c>
    </row>
    <row r="13" spans="1:16" x14ac:dyDescent="0.25">
      <c r="A13" t="s">
        <v>417</v>
      </c>
      <c r="D13" s="129">
        <f>-SUM(C11:C12)</f>
        <v>-1462500</v>
      </c>
      <c r="G13" s="129">
        <f>SUM(F11:F12)</f>
        <v>-1540900</v>
      </c>
      <c r="K13" t="s">
        <v>356</v>
      </c>
      <c r="M13" s="11">
        <f>+H21</f>
        <v>0</v>
      </c>
    </row>
    <row r="14" spans="1:16" ht="15.75" thickBot="1" x14ac:dyDescent="0.3">
      <c r="A14" s="12" t="s">
        <v>402</v>
      </c>
      <c r="B14" s="12"/>
      <c r="C14" s="12"/>
      <c r="D14" s="130">
        <f>SUM(D10:D13)</f>
        <v>787500</v>
      </c>
      <c r="G14" s="130">
        <f>SUM(G10:G13)</f>
        <v>19100</v>
      </c>
      <c r="K14" t="s">
        <v>358</v>
      </c>
      <c r="M14" s="11">
        <f>+I34</f>
        <v>111999.99999999999</v>
      </c>
      <c r="N14" s="11">
        <f>+H28</f>
        <v>0</v>
      </c>
    </row>
    <row r="15" spans="1:16" ht="15.75" thickTop="1" x14ac:dyDescent="0.25">
      <c r="K15" t="s">
        <v>361</v>
      </c>
      <c r="N15" s="11">
        <f>+I38</f>
        <v>32000</v>
      </c>
    </row>
    <row r="16" spans="1:16" x14ac:dyDescent="0.25">
      <c r="K16" t="s">
        <v>363</v>
      </c>
      <c r="M16" s="11">
        <f>+I42</f>
        <v>50000</v>
      </c>
      <c r="N16" s="11">
        <f>+H36</f>
        <v>0</v>
      </c>
    </row>
    <row r="17" spans="1:15" x14ac:dyDescent="0.25">
      <c r="A17" s="49" t="s">
        <v>186</v>
      </c>
      <c r="B17" s="50" t="s">
        <v>57</v>
      </c>
      <c r="C17" s="51" t="s">
        <v>134</v>
      </c>
      <c r="D17" s="52" t="s">
        <v>59</v>
      </c>
      <c r="E17" s="53" t="s">
        <v>135</v>
      </c>
      <c r="F17" s="50" t="s">
        <v>61</v>
      </c>
      <c r="G17" s="49" t="s">
        <v>136</v>
      </c>
      <c r="H17" s="49"/>
      <c r="I17" s="29"/>
      <c r="J17" s="29"/>
      <c r="K17" t="s">
        <v>429</v>
      </c>
      <c r="M17" s="11">
        <f>+I46</f>
        <v>90000</v>
      </c>
    </row>
    <row r="18" spans="1:15" x14ac:dyDescent="0.25">
      <c r="A18" s="49"/>
      <c r="B18" s="50" t="s">
        <v>57</v>
      </c>
      <c r="C18" s="54">
        <v>8</v>
      </c>
      <c r="D18" s="52" t="s">
        <v>59</v>
      </c>
      <c r="E18" s="55">
        <f>700000/85000</f>
        <v>8.235294117647058</v>
      </c>
      <c r="F18" s="50" t="s">
        <v>61</v>
      </c>
      <c r="G18" s="56">
        <v>85000</v>
      </c>
      <c r="H18" s="50" t="s">
        <v>57</v>
      </c>
      <c r="I18" s="127">
        <f>(E18-C18)*G18</f>
        <v>19999.999999999927</v>
      </c>
      <c r="J18" s="30" t="s">
        <v>39</v>
      </c>
      <c r="K18" t="s">
        <v>175</v>
      </c>
      <c r="N18" s="11">
        <f>+H51</f>
        <v>0</v>
      </c>
    </row>
    <row r="19" spans="1:15" x14ac:dyDescent="0.25">
      <c r="A19" s="49"/>
      <c r="B19" s="49"/>
      <c r="C19" s="51"/>
      <c r="D19" s="49"/>
      <c r="E19" s="53" t="s">
        <v>420</v>
      </c>
      <c r="F19" s="49"/>
      <c r="G19" s="49"/>
      <c r="H19" s="49"/>
      <c r="I19" s="29"/>
      <c r="J19" s="29"/>
      <c r="K19" t="s">
        <v>317</v>
      </c>
      <c r="M19" s="125">
        <f>+I49</f>
        <v>240000</v>
      </c>
      <c r="N19" s="125">
        <f>+H55</f>
        <v>0</v>
      </c>
    </row>
    <row r="20" spans="1:15" x14ac:dyDescent="0.25">
      <c r="A20" s="49"/>
      <c r="B20" s="49"/>
      <c r="C20" s="49"/>
      <c r="D20" s="49"/>
      <c r="E20" s="49"/>
      <c r="F20" s="49"/>
      <c r="G20" s="49"/>
      <c r="H20" s="49"/>
      <c r="I20" s="29"/>
      <c r="J20" s="29"/>
      <c r="M20" s="11">
        <f>SUM(M9:M19)</f>
        <v>666899.99999999988</v>
      </c>
      <c r="N20" s="11">
        <f>SUM(N9:N19)</f>
        <v>56000</v>
      </c>
      <c r="O20" s="11">
        <f>+N20-M20</f>
        <v>-610899.99999999988</v>
      </c>
    </row>
    <row r="21" spans="1:15" ht="15.75" thickBot="1" x14ac:dyDescent="0.3">
      <c r="A21" s="49" t="s">
        <v>188</v>
      </c>
      <c r="B21" s="50" t="s">
        <v>57</v>
      </c>
      <c r="C21" s="51" t="s">
        <v>141</v>
      </c>
      <c r="D21" s="52" t="s">
        <v>59</v>
      </c>
      <c r="E21" s="53" t="s">
        <v>142</v>
      </c>
      <c r="F21" s="50" t="s">
        <v>61</v>
      </c>
      <c r="G21" s="51" t="s">
        <v>134</v>
      </c>
      <c r="H21" s="49"/>
      <c r="I21" s="29"/>
      <c r="J21" s="29"/>
      <c r="K21" s="12" t="s">
        <v>114</v>
      </c>
      <c r="L21" s="12"/>
      <c r="M21" s="12"/>
      <c r="N21" s="12"/>
      <c r="O21" s="21">
        <f>SUM(O6:O20)</f>
        <v>19100.000000000116</v>
      </c>
    </row>
    <row r="22" spans="1:15" ht="15.75" thickTop="1" x14ac:dyDescent="0.25">
      <c r="A22" s="49"/>
      <c r="B22" s="50" t="s">
        <v>57</v>
      </c>
      <c r="C22" s="54">
        <f>8000*10</f>
        <v>80000</v>
      </c>
      <c r="D22" s="52" t="s">
        <v>59</v>
      </c>
      <c r="E22" s="55">
        <v>85000</v>
      </c>
      <c r="F22" s="50" t="s">
        <v>61</v>
      </c>
      <c r="G22" s="56">
        <v>8</v>
      </c>
      <c r="H22" s="50" t="s">
        <v>57</v>
      </c>
      <c r="I22" s="127">
        <f>(E22-C22)*G22</f>
        <v>40000</v>
      </c>
      <c r="J22" s="30" t="s">
        <v>39</v>
      </c>
    </row>
    <row r="23" spans="1:15" x14ac:dyDescent="0.25">
      <c r="A23" s="49"/>
      <c r="B23" s="49"/>
      <c r="C23" s="51" t="s">
        <v>421</v>
      </c>
      <c r="D23" s="49"/>
      <c r="E23" s="53"/>
      <c r="F23" s="49"/>
      <c r="G23" s="49"/>
      <c r="H23" s="49"/>
      <c r="I23" s="29"/>
      <c r="J23" s="29"/>
    </row>
    <row r="25" spans="1:15" x14ac:dyDescent="0.25">
      <c r="A25" s="49" t="s">
        <v>348</v>
      </c>
      <c r="B25" s="50" t="s">
        <v>57</v>
      </c>
      <c r="C25" s="51" t="s">
        <v>153</v>
      </c>
      <c r="D25" s="52" t="s">
        <v>59</v>
      </c>
      <c r="E25" s="53" t="s">
        <v>60</v>
      </c>
      <c r="F25" s="50" t="s">
        <v>61</v>
      </c>
      <c r="G25" s="49" t="s">
        <v>282</v>
      </c>
      <c r="H25" s="49"/>
      <c r="I25" s="29"/>
      <c r="J25" s="29"/>
    </row>
    <row r="26" spans="1:15" x14ac:dyDescent="0.25">
      <c r="A26" s="49"/>
      <c r="B26" s="50" t="s">
        <v>57</v>
      </c>
      <c r="C26" s="54">
        <v>6</v>
      </c>
      <c r="D26" s="52" t="s">
        <v>59</v>
      </c>
      <c r="E26" s="55">
        <f>330900/36000</f>
        <v>9.1916666666666664</v>
      </c>
      <c r="F26" s="50" t="s">
        <v>61</v>
      </c>
      <c r="G26" s="56">
        <v>36000</v>
      </c>
      <c r="H26" s="50" t="s">
        <v>57</v>
      </c>
      <c r="I26" s="127">
        <f>(E26-C26)*G26</f>
        <v>114899.99999999999</v>
      </c>
      <c r="J26" s="30" t="s">
        <v>39</v>
      </c>
    </row>
    <row r="27" spans="1:15" x14ac:dyDescent="0.25">
      <c r="A27" s="49"/>
      <c r="B27" s="49"/>
      <c r="C27" s="51"/>
      <c r="D27" s="49"/>
      <c r="E27" s="53" t="s">
        <v>422</v>
      </c>
      <c r="F27" s="49"/>
      <c r="G27" s="49"/>
      <c r="H27" s="49"/>
      <c r="I27" s="29"/>
      <c r="J27" s="29"/>
    </row>
    <row r="29" spans="1:15" x14ac:dyDescent="0.25">
      <c r="A29" s="49" t="s">
        <v>351</v>
      </c>
      <c r="B29" s="50" t="s">
        <v>57</v>
      </c>
      <c r="C29" s="51" t="s">
        <v>155</v>
      </c>
      <c r="D29" s="52" t="s">
        <v>59</v>
      </c>
      <c r="E29" s="53" t="s">
        <v>353</v>
      </c>
      <c r="F29" s="50" t="s">
        <v>61</v>
      </c>
      <c r="G29" s="51" t="s">
        <v>153</v>
      </c>
      <c r="H29" s="49"/>
      <c r="I29" s="29"/>
      <c r="J29" s="29"/>
    </row>
    <row r="30" spans="1:15" x14ac:dyDescent="0.25">
      <c r="A30" s="49"/>
      <c r="B30" s="50" t="s">
        <v>57</v>
      </c>
      <c r="C30" s="54">
        <f>8000*5</f>
        <v>40000</v>
      </c>
      <c r="D30" s="52" t="s">
        <v>59</v>
      </c>
      <c r="E30" s="55">
        <v>36000</v>
      </c>
      <c r="F30" s="50" t="s">
        <v>61</v>
      </c>
      <c r="G30" s="56">
        <v>6</v>
      </c>
      <c r="H30" s="50" t="s">
        <v>57</v>
      </c>
      <c r="I30" s="127">
        <f>(C30-E30)*G30</f>
        <v>24000</v>
      </c>
      <c r="J30" s="30" t="s">
        <v>41</v>
      </c>
    </row>
    <row r="31" spans="1:15" x14ac:dyDescent="0.25">
      <c r="A31" s="49"/>
      <c r="B31" s="49"/>
      <c r="C31" s="51" t="s">
        <v>423</v>
      </c>
      <c r="D31" s="49"/>
      <c r="E31" s="53"/>
      <c r="F31" s="49"/>
      <c r="G31" s="49"/>
      <c r="H31" s="49"/>
      <c r="I31" s="29"/>
      <c r="J31" s="29"/>
    </row>
    <row r="33" spans="1:10" x14ac:dyDescent="0.25">
      <c r="A33" s="49" t="s">
        <v>358</v>
      </c>
      <c r="B33" s="50" t="s">
        <v>57</v>
      </c>
      <c r="C33" s="51" t="s">
        <v>153</v>
      </c>
      <c r="D33" s="52" t="s">
        <v>59</v>
      </c>
      <c r="E33" s="53" t="s">
        <v>60</v>
      </c>
      <c r="F33" s="50" t="s">
        <v>61</v>
      </c>
      <c r="G33" s="49" t="s">
        <v>352</v>
      </c>
      <c r="H33" s="49"/>
      <c r="I33" s="29"/>
      <c r="J33" s="29"/>
    </row>
    <row r="34" spans="1:10" x14ac:dyDescent="0.25">
      <c r="A34" s="49"/>
      <c r="B34" s="50" t="s">
        <v>57</v>
      </c>
      <c r="C34" s="54">
        <v>8</v>
      </c>
      <c r="D34" s="52" t="s">
        <v>59</v>
      </c>
      <c r="E34" s="55">
        <f>400000/36000</f>
        <v>11.111111111111111</v>
      </c>
      <c r="F34" s="50" t="s">
        <v>61</v>
      </c>
      <c r="G34" s="56">
        <v>36000</v>
      </c>
      <c r="H34" s="50" t="s">
        <v>57</v>
      </c>
      <c r="I34" s="127">
        <f>(E34-C34)*G34</f>
        <v>111999.99999999999</v>
      </c>
      <c r="J34" s="30" t="s">
        <v>39</v>
      </c>
    </row>
    <row r="35" spans="1:10" x14ac:dyDescent="0.25">
      <c r="A35" s="49"/>
      <c r="B35" s="49"/>
      <c r="C35" s="51"/>
      <c r="D35" s="49"/>
      <c r="E35" s="53" t="s">
        <v>424</v>
      </c>
      <c r="F35" s="49"/>
      <c r="G35" s="49"/>
      <c r="H35" s="49"/>
      <c r="I35" s="29"/>
      <c r="J35" s="29"/>
    </row>
    <row r="37" spans="1:10" x14ac:dyDescent="0.25">
      <c r="A37" s="49" t="s">
        <v>361</v>
      </c>
      <c r="B37" s="50" t="s">
        <v>57</v>
      </c>
      <c r="C37" s="51" t="s">
        <v>155</v>
      </c>
      <c r="D37" s="52" t="s">
        <v>59</v>
      </c>
      <c r="E37" s="53" t="s">
        <v>353</v>
      </c>
      <c r="F37" s="50" t="s">
        <v>61</v>
      </c>
      <c r="G37" s="51" t="s">
        <v>153</v>
      </c>
      <c r="H37" s="49"/>
      <c r="I37" s="29"/>
      <c r="J37" s="29"/>
    </row>
    <row r="38" spans="1:10" x14ac:dyDescent="0.25">
      <c r="A38" s="49"/>
      <c r="B38" s="50" t="s">
        <v>57</v>
      </c>
      <c r="C38" s="54">
        <f>8000*5</f>
        <v>40000</v>
      </c>
      <c r="D38" s="52" t="s">
        <v>59</v>
      </c>
      <c r="E38" s="55">
        <v>36000</v>
      </c>
      <c r="F38" s="50" t="s">
        <v>61</v>
      </c>
      <c r="G38" s="56">
        <v>8</v>
      </c>
      <c r="H38" s="50" t="s">
        <v>57</v>
      </c>
      <c r="I38" s="127">
        <f>(C38-E38)*G38</f>
        <v>32000</v>
      </c>
      <c r="J38" s="30" t="s">
        <v>41</v>
      </c>
    </row>
    <row r="39" spans="1:10" x14ac:dyDescent="0.25">
      <c r="C39" t="s">
        <v>423</v>
      </c>
    </row>
    <row r="41" spans="1:10" x14ac:dyDescent="0.25">
      <c r="A41" t="s">
        <v>363</v>
      </c>
      <c r="B41" s="50" t="s">
        <v>57</v>
      </c>
      <c r="C41" t="s">
        <v>159</v>
      </c>
      <c r="D41" s="52" t="s">
        <v>59</v>
      </c>
      <c r="E41" t="s">
        <v>160</v>
      </c>
    </row>
    <row r="42" spans="1:10" x14ac:dyDescent="0.25">
      <c r="C42" s="8">
        <f>10000*45</f>
        <v>450000</v>
      </c>
      <c r="E42" s="8">
        <v>500000</v>
      </c>
      <c r="H42" s="50" t="s">
        <v>57</v>
      </c>
      <c r="I42" s="127">
        <f>E42-C42</f>
        <v>50000</v>
      </c>
      <c r="J42" s="30" t="s">
        <v>39</v>
      </c>
    </row>
    <row r="43" spans="1:10" x14ac:dyDescent="0.25">
      <c r="C43" t="s">
        <v>425</v>
      </c>
    </row>
    <row r="45" spans="1:10" x14ac:dyDescent="0.25">
      <c r="A45" t="s">
        <v>167</v>
      </c>
      <c r="B45" s="50" t="s">
        <v>57</v>
      </c>
      <c r="C45" t="s">
        <v>325</v>
      </c>
      <c r="D45" s="52" t="s">
        <v>59</v>
      </c>
      <c r="E45" t="s">
        <v>318</v>
      </c>
      <c r="F45" s="50" t="s">
        <v>61</v>
      </c>
      <c r="G45" t="s">
        <v>366</v>
      </c>
    </row>
    <row r="46" spans="1:10" x14ac:dyDescent="0.25">
      <c r="C46" s="8">
        <v>10000</v>
      </c>
      <c r="D46" s="52" t="s">
        <v>59</v>
      </c>
      <c r="E46" s="8">
        <v>8000</v>
      </c>
      <c r="F46" s="50" t="s">
        <v>61</v>
      </c>
      <c r="G46" s="8">
        <v>45</v>
      </c>
      <c r="H46" s="50" t="s">
        <v>57</v>
      </c>
      <c r="I46" s="127">
        <f>(C46-E46)*G46</f>
        <v>90000</v>
      </c>
      <c r="J46" s="30" t="s">
        <v>39</v>
      </c>
    </row>
    <row r="48" spans="1:10" x14ac:dyDescent="0.25">
      <c r="A48" s="49" t="s">
        <v>317</v>
      </c>
      <c r="B48" s="50" t="s">
        <v>57</v>
      </c>
      <c r="C48" s="51" t="s">
        <v>372</v>
      </c>
      <c r="D48" s="52" t="s">
        <v>59</v>
      </c>
      <c r="E48" s="53" t="s">
        <v>373</v>
      </c>
      <c r="F48" s="50" t="s">
        <v>61</v>
      </c>
      <c r="G48" s="49" t="s">
        <v>318</v>
      </c>
      <c r="H48" s="49"/>
      <c r="I48" s="29"/>
      <c r="J48" s="29"/>
    </row>
    <row r="49" spans="1:15" x14ac:dyDescent="0.25">
      <c r="A49" s="49"/>
      <c r="B49" s="50" t="s">
        <v>57</v>
      </c>
      <c r="C49" s="54">
        <f>300-195</f>
        <v>105</v>
      </c>
      <c r="D49" s="52" t="s">
        <v>59</v>
      </c>
      <c r="E49" s="55">
        <f>260-195</f>
        <v>65</v>
      </c>
      <c r="F49" s="50" t="s">
        <v>61</v>
      </c>
      <c r="G49" s="56">
        <v>6000</v>
      </c>
      <c r="H49" s="50" t="s">
        <v>57</v>
      </c>
      <c r="I49" s="127">
        <f>(C49-E49)*G49</f>
        <v>240000</v>
      </c>
      <c r="J49" s="30" t="s">
        <v>39</v>
      </c>
    </row>
    <row r="50" spans="1:15" x14ac:dyDescent="0.25">
      <c r="A50" s="49"/>
      <c r="B50" s="49"/>
      <c r="C50" s="51" t="s">
        <v>426</v>
      </c>
      <c r="D50" s="49"/>
      <c r="E50" s="53" t="s">
        <v>427</v>
      </c>
      <c r="F50" s="49"/>
      <c r="G50" s="49"/>
      <c r="H50" s="49"/>
      <c r="I50" s="29"/>
      <c r="J50" s="29"/>
    </row>
    <row r="52" spans="1:15" x14ac:dyDescent="0.25">
      <c r="A52" t="s">
        <v>324</v>
      </c>
      <c r="B52" s="50" t="s">
        <v>57</v>
      </c>
      <c r="C52" s="51" t="s">
        <v>325</v>
      </c>
      <c r="D52" s="52" t="s">
        <v>59</v>
      </c>
      <c r="E52" s="53" t="s">
        <v>318</v>
      </c>
      <c r="F52" s="50" t="s">
        <v>61</v>
      </c>
      <c r="G52" s="51" t="s">
        <v>372</v>
      </c>
    </row>
    <row r="53" spans="1:15" x14ac:dyDescent="0.25">
      <c r="C53" s="8">
        <v>7500</v>
      </c>
      <c r="D53" s="52" t="s">
        <v>59</v>
      </c>
      <c r="E53" s="8">
        <v>6000</v>
      </c>
      <c r="F53" s="50" t="s">
        <v>61</v>
      </c>
      <c r="G53">
        <v>105</v>
      </c>
      <c r="H53" s="50" t="s">
        <v>57</v>
      </c>
      <c r="I53" s="126">
        <f>(C53-E53)*G53</f>
        <v>157500</v>
      </c>
      <c r="J53" s="69" t="s">
        <v>39</v>
      </c>
    </row>
    <row r="56" spans="1:15" x14ac:dyDescent="0.25">
      <c r="A56" s="9" t="s">
        <v>404</v>
      </c>
      <c r="B56" s="9" t="s">
        <v>405</v>
      </c>
      <c r="K56" t="s">
        <v>431</v>
      </c>
    </row>
    <row r="57" spans="1:15" x14ac:dyDescent="0.25">
      <c r="K57" s="148" t="s">
        <v>380</v>
      </c>
      <c r="L57" s="148"/>
      <c r="M57" s="148"/>
      <c r="N57" s="148"/>
      <c r="O57" s="148"/>
    </row>
    <row r="58" spans="1:15" x14ac:dyDescent="0.25">
      <c r="D58" s="136" t="s">
        <v>406</v>
      </c>
      <c r="E58" s="136"/>
      <c r="F58" s="136"/>
      <c r="G58" s="136" t="s">
        <v>407</v>
      </c>
      <c r="K58" t="s">
        <v>113</v>
      </c>
      <c r="L58" t="s">
        <v>428</v>
      </c>
      <c r="O58" s="8">
        <f>+D68</f>
        <v>787500</v>
      </c>
    </row>
    <row r="59" spans="1:15" x14ac:dyDescent="0.25">
      <c r="A59" t="s">
        <v>408</v>
      </c>
      <c r="D59" s="128">
        <v>10000</v>
      </c>
      <c r="G59" s="128">
        <v>8000</v>
      </c>
      <c r="K59" t="s">
        <v>324</v>
      </c>
      <c r="O59" s="125">
        <f>-I107</f>
        <v>-157500</v>
      </c>
    </row>
    <row r="60" spans="1:15" x14ac:dyDescent="0.25">
      <c r="A60" t="s">
        <v>409</v>
      </c>
      <c r="D60" s="128">
        <v>7500</v>
      </c>
      <c r="G60" s="128">
        <v>6000</v>
      </c>
      <c r="K60" t="s">
        <v>377</v>
      </c>
      <c r="L60" t="s">
        <v>378</v>
      </c>
      <c r="O60" s="11">
        <f>SUM(O58:O59)</f>
        <v>630000</v>
      </c>
    </row>
    <row r="61" spans="1:15" x14ac:dyDescent="0.25">
      <c r="A61" t="s">
        <v>410</v>
      </c>
      <c r="D61" s="128">
        <v>2500</v>
      </c>
      <c r="G61" s="128">
        <v>2000</v>
      </c>
    </row>
    <row r="62" spans="1:15" x14ac:dyDescent="0.25">
      <c r="A62" t="s">
        <v>411</v>
      </c>
      <c r="D62" s="8">
        <v>300</v>
      </c>
      <c r="G62" s="8">
        <v>260</v>
      </c>
      <c r="K62" s="71" t="s">
        <v>379</v>
      </c>
      <c r="L62" s="71"/>
      <c r="M62" s="72" t="s">
        <v>39</v>
      </c>
      <c r="N62" s="72" t="s">
        <v>41</v>
      </c>
    </row>
    <row r="63" spans="1:15" x14ac:dyDescent="0.25">
      <c r="K63" t="s">
        <v>241</v>
      </c>
      <c r="M63" s="11">
        <f>+I72</f>
        <v>19999.999999999927</v>
      </c>
    </row>
    <row r="64" spans="1:15" x14ac:dyDescent="0.25">
      <c r="A64" t="s">
        <v>412</v>
      </c>
      <c r="D64" s="129">
        <f>+D60*D62</f>
        <v>2250000</v>
      </c>
      <c r="G64" s="129">
        <f>+G60*G62</f>
        <v>1560000</v>
      </c>
      <c r="K64" t="s">
        <v>244</v>
      </c>
      <c r="M64" s="137">
        <f>+I76</f>
        <v>40000</v>
      </c>
      <c r="N64" s="11">
        <f>+H63</f>
        <v>0</v>
      </c>
    </row>
    <row r="65" spans="1:15" x14ac:dyDescent="0.25">
      <c r="A65" t="s">
        <v>413</v>
      </c>
      <c r="B65" t="s">
        <v>414</v>
      </c>
      <c r="C65" s="129">
        <f>195*D59</f>
        <v>1950000</v>
      </c>
      <c r="E65" t="s">
        <v>418</v>
      </c>
      <c r="F65" s="128">
        <f>-(700000+330900+400000+500000)</f>
        <v>-1930900</v>
      </c>
      <c r="K65" t="s">
        <v>56</v>
      </c>
      <c r="M65" s="11">
        <f>+I80</f>
        <v>114899.99999999999</v>
      </c>
    </row>
    <row r="66" spans="1:15" ht="31.5" customHeight="1" x14ac:dyDescent="0.25">
      <c r="A66" t="s">
        <v>415</v>
      </c>
      <c r="B66" t="s">
        <v>416</v>
      </c>
      <c r="C66" s="134">
        <f>-195*D61</f>
        <v>-487500</v>
      </c>
      <c r="E66" s="139" t="s">
        <v>432</v>
      </c>
      <c r="F66" s="128">
        <f>-F65/8000*2000</f>
        <v>482725</v>
      </c>
      <c r="K66" t="s">
        <v>64</v>
      </c>
      <c r="N66" s="11">
        <f>+I84</f>
        <v>24000</v>
      </c>
    </row>
    <row r="67" spans="1:15" x14ac:dyDescent="0.25">
      <c r="A67" t="s">
        <v>417</v>
      </c>
      <c r="D67" s="129">
        <f>-SUM(C65:C66)</f>
        <v>-1462500</v>
      </c>
      <c r="G67" s="129">
        <f>SUM(F65:F66)</f>
        <v>-1448175</v>
      </c>
      <c r="K67" t="s">
        <v>356</v>
      </c>
      <c r="M67" s="11">
        <f>+H75</f>
        <v>0</v>
      </c>
    </row>
    <row r="68" spans="1:15" ht="15.75" thickBot="1" x14ac:dyDescent="0.3">
      <c r="A68" s="12" t="s">
        <v>402</v>
      </c>
      <c r="B68" s="12"/>
      <c r="C68" s="12"/>
      <c r="D68" s="130">
        <f>SUM(D64:D67)</f>
        <v>787500</v>
      </c>
      <c r="G68" s="130">
        <f>SUM(G64:G67)</f>
        <v>111825</v>
      </c>
      <c r="K68" t="s">
        <v>358</v>
      </c>
      <c r="M68" s="11">
        <f>+I88</f>
        <v>111999.99999999999</v>
      </c>
      <c r="N68" s="11">
        <f>+H82</f>
        <v>0</v>
      </c>
    </row>
    <row r="69" spans="1:15" ht="15.75" thickTop="1" x14ac:dyDescent="0.25">
      <c r="K69" t="s">
        <v>361</v>
      </c>
      <c r="N69" s="11">
        <f>+I92</f>
        <v>32000</v>
      </c>
    </row>
    <row r="70" spans="1:15" x14ac:dyDescent="0.25">
      <c r="K70" t="s">
        <v>363</v>
      </c>
      <c r="M70" s="11">
        <f>+I96</f>
        <v>50000</v>
      </c>
      <c r="N70" s="11">
        <f>+H90</f>
        <v>0</v>
      </c>
    </row>
    <row r="71" spans="1:15" x14ac:dyDescent="0.25">
      <c r="A71" s="49" t="s">
        <v>186</v>
      </c>
      <c r="B71" s="50" t="s">
        <v>57</v>
      </c>
      <c r="C71" s="51" t="s">
        <v>134</v>
      </c>
      <c r="D71" s="52" t="s">
        <v>59</v>
      </c>
      <c r="E71" s="53" t="s">
        <v>135</v>
      </c>
      <c r="F71" s="50" t="s">
        <v>61</v>
      </c>
      <c r="G71" s="49" t="s">
        <v>136</v>
      </c>
      <c r="H71" s="49"/>
      <c r="I71" s="29"/>
      <c r="J71" s="29"/>
      <c r="K71" t="s">
        <v>429</v>
      </c>
      <c r="M71" s="11">
        <f>+I100</f>
        <v>90000</v>
      </c>
    </row>
    <row r="72" spans="1:15" x14ac:dyDescent="0.25">
      <c r="A72" s="49"/>
      <c r="B72" s="50" t="s">
        <v>57</v>
      </c>
      <c r="C72" s="54">
        <v>8</v>
      </c>
      <c r="D72" s="52" t="s">
        <v>59</v>
      </c>
      <c r="E72" s="55">
        <f>700000/85000</f>
        <v>8.235294117647058</v>
      </c>
      <c r="F72" s="50" t="s">
        <v>61</v>
      </c>
      <c r="G72" s="56">
        <v>85000</v>
      </c>
      <c r="H72" s="50" t="s">
        <v>57</v>
      </c>
      <c r="I72" s="127">
        <f>(E72-C72)*G72</f>
        <v>19999.999999999927</v>
      </c>
      <c r="J72" s="30" t="s">
        <v>39</v>
      </c>
      <c r="K72" t="s">
        <v>175</v>
      </c>
      <c r="N72" s="11">
        <f>+H105</f>
        <v>0</v>
      </c>
    </row>
    <row r="73" spans="1:15" x14ac:dyDescent="0.25">
      <c r="A73" s="49"/>
      <c r="B73" s="49"/>
      <c r="C73" s="51"/>
      <c r="D73" s="49"/>
      <c r="E73" s="53" t="s">
        <v>420</v>
      </c>
      <c r="F73" s="49"/>
      <c r="G73" s="49"/>
      <c r="H73" s="49"/>
      <c r="I73" s="29"/>
      <c r="J73" s="29"/>
      <c r="K73" t="s">
        <v>317</v>
      </c>
      <c r="M73" s="140">
        <f>+I103</f>
        <v>240000</v>
      </c>
      <c r="N73" s="125">
        <f>+H109</f>
        <v>0</v>
      </c>
    </row>
    <row r="74" spans="1:15" x14ac:dyDescent="0.25">
      <c r="A74" s="49"/>
      <c r="B74" s="49"/>
      <c r="C74" s="49"/>
      <c r="D74" s="49"/>
      <c r="E74" s="49"/>
      <c r="F74" s="49"/>
      <c r="G74" s="49"/>
      <c r="H74" s="49"/>
      <c r="I74" s="29"/>
      <c r="J74" s="29"/>
      <c r="M74" s="11">
        <f>SUM(M63:M73)</f>
        <v>666899.99999999988</v>
      </c>
      <c r="N74" s="11">
        <f>SUM(N63:N73)</f>
        <v>56000</v>
      </c>
      <c r="O74" s="11">
        <f>+N74-M74</f>
        <v>-610899.99999999988</v>
      </c>
    </row>
    <row r="75" spans="1:15" x14ac:dyDescent="0.25">
      <c r="A75" s="49" t="s">
        <v>188</v>
      </c>
      <c r="B75" s="50" t="s">
        <v>57</v>
      </c>
      <c r="C75" s="51" t="s">
        <v>141</v>
      </c>
      <c r="D75" s="52" t="s">
        <v>59</v>
      </c>
      <c r="E75" s="53" t="s">
        <v>142</v>
      </c>
      <c r="F75" s="50" t="s">
        <v>61</v>
      </c>
      <c r="G75" s="51" t="s">
        <v>134</v>
      </c>
      <c r="H75" s="49"/>
      <c r="I75" s="29"/>
      <c r="J75" s="29"/>
      <c r="K75" t="s">
        <v>433</v>
      </c>
      <c r="L75" s="141">
        <f>M75-N75</f>
        <v>370899.99999999988</v>
      </c>
      <c r="M75" s="141">
        <f>SUM(M63:M72)</f>
        <v>426899.99999999988</v>
      </c>
      <c r="N75" s="142">
        <f>SUM(N63:N72)</f>
        <v>56000</v>
      </c>
      <c r="O75" s="8">
        <f>+L75/8000*2000</f>
        <v>92724.999999999971</v>
      </c>
    </row>
    <row r="76" spans="1:15" x14ac:dyDescent="0.25">
      <c r="A76" s="49"/>
      <c r="B76" s="50" t="s">
        <v>57</v>
      </c>
      <c r="C76" s="54">
        <f>8000*10</f>
        <v>80000</v>
      </c>
      <c r="D76" s="52" t="s">
        <v>59</v>
      </c>
      <c r="E76" s="55">
        <v>85000</v>
      </c>
      <c r="F76" s="50" t="s">
        <v>61</v>
      </c>
      <c r="G76" s="56">
        <v>8</v>
      </c>
      <c r="H76" s="50" t="s">
        <v>57</v>
      </c>
      <c r="I76" s="127">
        <f>(E76-C76)*G76</f>
        <v>40000</v>
      </c>
      <c r="J76" s="30" t="s">
        <v>39</v>
      </c>
    </row>
    <row r="77" spans="1:15" ht="15.75" thickBot="1" x14ac:dyDescent="0.3">
      <c r="A77" s="49"/>
      <c r="B77" s="49"/>
      <c r="C77" s="51" t="s">
        <v>421</v>
      </c>
      <c r="D77" s="49"/>
      <c r="E77" s="53"/>
      <c r="F77" s="49"/>
      <c r="G77" s="49"/>
      <c r="H77" s="49"/>
      <c r="I77" s="29"/>
      <c r="J77" s="29"/>
      <c r="K77" s="12" t="s">
        <v>114</v>
      </c>
      <c r="L77" s="12"/>
      <c r="M77" s="12"/>
      <c r="N77" s="12"/>
      <c r="O77" s="21">
        <f>SUM(O60:O75)</f>
        <v>111825.00000000009</v>
      </c>
    </row>
    <row r="78" spans="1:15" ht="15.75" thickTop="1" x14ac:dyDescent="0.25"/>
    <row r="79" spans="1:15" x14ac:dyDescent="0.25">
      <c r="A79" s="49" t="s">
        <v>348</v>
      </c>
      <c r="B79" s="50" t="s">
        <v>57</v>
      </c>
      <c r="C79" s="51" t="s">
        <v>153</v>
      </c>
      <c r="D79" s="52" t="s">
        <v>59</v>
      </c>
      <c r="E79" s="53" t="s">
        <v>60</v>
      </c>
      <c r="F79" s="50" t="s">
        <v>61</v>
      </c>
      <c r="G79" s="49" t="s">
        <v>282</v>
      </c>
      <c r="H79" s="49"/>
      <c r="I79" s="29"/>
      <c r="J79" s="29"/>
    </row>
    <row r="80" spans="1:15" x14ac:dyDescent="0.25">
      <c r="A80" s="49"/>
      <c r="B80" s="50" t="s">
        <v>57</v>
      </c>
      <c r="C80" s="54">
        <v>6</v>
      </c>
      <c r="D80" s="52" t="s">
        <v>59</v>
      </c>
      <c r="E80" s="55">
        <f>330900/36000</f>
        <v>9.1916666666666664</v>
      </c>
      <c r="F80" s="50" t="s">
        <v>61</v>
      </c>
      <c r="G80" s="56">
        <v>36000</v>
      </c>
      <c r="H80" s="50" t="s">
        <v>57</v>
      </c>
      <c r="I80" s="127">
        <f>(E80-C80)*G80</f>
        <v>114899.99999999999</v>
      </c>
      <c r="J80" s="30" t="s">
        <v>39</v>
      </c>
    </row>
    <row r="81" spans="1:10" x14ac:dyDescent="0.25">
      <c r="A81" s="49"/>
      <c r="B81" s="49"/>
      <c r="C81" s="51"/>
      <c r="D81" s="49"/>
      <c r="E81" s="53" t="s">
        <v>422</v>
      </c>
      <c r="F81" s="49"/>
      <c r="G81" s="49"/>
      <c r="H81" s="49"/>
      <c r="I81" s="29"/>
      <c r="J81" s="29"/>
    </row>
    <row r="83" spans="1:10" x14ac:dyDescent="0.25">
      <c r="A83" s="49" t="s">
        <v>351</v>
      </c>
      <c r="B83" s="50" t="s">
        <v>57</v>
      </c>
      <c r="C83" s="51" t="s">
        <v>155</v>
      </c>
      <c r="D83" s="52" t="s">
        <v>59</v>
      </c>
      <c r="E83" s="53" t="s">
        <v>353</v>
      </c>
      <c r="F83" s="50" t="s">
        <v>61</v>
      </c>
      <c r="G83" s="51" t="s">
        <v>153</v>
      </c>
      <c r="H83" s="49"/>
      <c r="I83" s="29"/>
      <c r="J83" s="29"/>
    </row>
    <row r="84" spans="1:10" x14ac:dyDescent="0.25">
      <c r="A84" s="49"/>
      <c r="B84" s="50" t="s">
        <v>57</v>
      </c>
      <c r="C84" s="54">
        <f>8000*5</f>
        <v>40000</v>
      </c>
      <c r="D84" s="52" t="s">
        <v>59</v>
      </c>
      <c r="E84" s="55">
        <v>36000</v>
      </c>
      <c r="F84" s="50" t="s">
        <v>61</v>
      </c>
      <c r="G84" s="56">
        <v>6</v>
      </c>
      <c r="H84" s="50" t="s">
        <v>57</v>
      </c>
      <c r="I84" s="127">
        <f>(C84-E84)*G84</f>
        <v>24000</v>
      </c>
      <c r="J84" s="30" t="s">
        <v>41</v>
      </c>
    </row>
    <row r="85" spans="1:10" x14ac:dyDescent="0.25">
      <c r="A85" s="49"/>
      <c r="B85" s="49"/>
      <c r="C85" s="51" t="s">
        <v>423</v>
      </c>
      <c r="D85" s="49"/>
      <c r="E85" s="53"/>
      <c r="F85" s="49"/>
      <c r="G85" s="49"/>
      <c r="H85" s="49"/>
      <c r="I85" s="29"/>
      <c r="J85" s="29"/>
    </row>
    <row r="87" spans="1:10" x14ac:dyDescent="0.25">
      <c r="A87" s="49" t="s">
        <v>358</v>
      </c>
      <c r="B87" s="50" t="s">
        <v>57</v>
      </c>
      <c r="C87" s="51" t="s">
        <v>153</v>
      </c>
      <c r="D87" s="52" t="s">
        <v>59</v>
      </c>
      <c r="E87" s="53" t="s">
        <v>60</v>
      </c>
      <c r="F87" s="50" t="s">
        <v>61</v>
      </c>
      <c r="G87" s="49" t="s">
        <v>352</v>
      </c>
      <c r="H87" s="49"/>
      <c r="I87" s="29"/>
      <c r="J87" s="29"/>
    </row>
    <row r="88" spans="1:10" x14ac:dyDescent="0.25">
      <c r="A88" s="49"/>
      <c r="B88" s="50" t="s">
        <v>57</v>
      </c>
      <c r="C88" s="54">
        <v>8</v>
      </c>
      <c r="D88" s="52" t="s">
        <v>59</v>
      </c>
      <c r="E88" s="55">
        <f>400000/36000</f>
        <v>11.111111111111111</v>
      </c>
      <c r="F88" s="50" t="s">
        <v>61</v>
      </c>
      <c r="G88" s="56">
        <v>36000</v>
      </c>
      <c r="H88" s="50" t="s">
        <v>57</v>
      </c>
      <c r="I88" s="127">
        <f>(E88-C88)*G88</f>
        <v>111999.99999999999</v>
      </c>
      <c r="J88" s="30" t="s">
        <v>39</v>
      </c>
    </row>
    <row r="89" spans="1:10" x14ac:dyDescent="0.25">
      <c r="A89" s="49"/>
      <c r="B89" s="49"/>
      <c r="C89" s="51"/>
      <c r="D89" s="49"/>
      <c r="E89" s="53" t="s">
        <v>424</v>
      </c>
      <c r="F89" s="49"/>
      <c r="G89" s="49"/>
      <c r="H89" s="49"/>
      <c r="I89" s="29"/>
      <c r="J89" s="29"/>
    </row>
    <row r="91" spans="1:10" x14ac:dyDescent="0.25">
      <c r="A91" s="49" t="s">
        <v>361</v>
      </c>
      <c r="B91" s="50" t="s">
        <v>57</v>
      </c>
      <c r="C91" s="51" t="s">
        <v>155</v>
      </c>
      <c r="D91" s="52" t="s">
        <v>59</v>
      </c>
      <c r="E91" s="53" t="s">
        <v>353</v>
      </c>
      <c r="F91" s="50" t="s">
        <v>61</v>
      </c>
      <c r="G91" s="51" t="s">
        <v>153</v>
      </c>
      <c r="H91" s="49"/>
      <c r="I91" s="29"/>
      <c r="J91" s="29"/>
    </row>
    <row r="92" spans="1:10" x14ac:dyDescent="0.25">
      <c r="A92" s="49"/>
      <c r="B92" s="50" t="s">
        <v>57</v>
      </c>
      <c r="C92" s="54">
        <f>8000*5</f>
        <v>40000</v>
      </c>
      <c r="D92" s="52" t="s">
        <v>59</v>
      </c>
      <c r="E92" s="55">
        <v>36000</v>
      </c>
      <c r="F92" s="50" t="s">
        <v>61</v>
      </c>
      <c r="G92" s="56">
        <v>8</v>
      </c>
      <c r="H92" s="50" t="s">
        <v>57</v>
      </c>
      <c r="I92" s="127">
        <f>(C92-E92)*G92</f>
        <v>32000</v>
      </c>
      <c r="J92" s="30" t="s">
        <v>41</v>
      </c>
    </row>
    <row r="93" spans="1:10" x14ac:dyDescent="0.25">
      <c r="C93" t="s">
        <v>423</v>
      </c>
    </row>
    <row r="95" spans="1:10" x14ac:dyDescent="0.25">
      <c r="A95" t="s">
        <v>363</v>
      </c>
      <c r="B95" s="50" t="s">
        <v>57</v>
      </c>
      <c r="C95" t="s">
        <v>159</v>
      </c>
      <c r="D95" s="52" t="s">
        <v>59</v>
      </c>
      <c r="E95" t="s">
        <v>160</v>
      </c>
    </row>
    <row r="96" spans="1:10" x14ac:dyDescent="0.25">
      <c r="C96" s="8">
        <f>10000*45</f>
        <v>450000</v>
      </c>
      <c r="E96" s="8">
        <v>500000</v>
      </c>
      <c r="H96" s="50" t="s">
        <v>57</v>
      </c>
      <c r="I96" s="127">
        <f>E96-C96</f>
        <v>50000</v>
      </c>
      <c r="J96" s="30" t="s">
        <v>39</v>
      </c>
    </row>
    <row r="97" spans="1:10" x14ac:dyDescent="0.25">
      <c r="C97" t="s">
        <v>425</v>
      </c>
    </row>
    <row r="99" spans="1:10" x14ac:dyDescent="0.25">
      <c r="A99" t="s">
        <v>167</v>
      </c>
      <c r="B99" s="50" t="s">
        <v>57</v>
      </c>
      <c r="C99" t="s">
        <v>325</v>
      </c>
      <c r="D99" s="52" t="s">
        <v>59</v>
      </c>
      <c r="E99" t="s">
        <v>318</v>
      </c>
      <c r="F99" s="50" t="s">
        <v>61</v>
      </c>
      <c r="G99" t="s">
        <v>366</v>
      </c>
    </row>
    <row r="100" spans="1:10" x14ac:dyDescent="0.25">
      <c r="C100" s="8">
        <v>10000</v>
      </c>
      <c r="D100" s="52" t="s">
        <v>59</v>
      </c>
      <c r="E100" s="8">
        <v>8000</v>
      </c>
      <c r="F100" s="50" t="s">
        <v>61</v>
      </c>
      <c r="G100" s="8">
        <v>45</v>
      </c>
      <c r="H100" s="50" t="s">
        <v>57</v>
      </c>
      <c r="I100" s="127">
        <f>(C100-E100)*G100</f>
        <v>90000</v>
      </c>
      <c r="J100" s="30" t="s">
        <v>39</v>
      </c>
    </row>
    <row r="102" spans="1:10" x14ac:dyDescent="0.25">
      <c r="A102" s="49" t="s">
        <v>317</v>
      </c>
      <c r="B102" s="50" t="s">
        <v>57</v>
      </c>
      <c r="C102" s="51" t="s">
        <v>372</v>
      </c>
      <c r="D102" s="52" t="s">
        <v>59</v>
      </c>
      <c r="E102" s="53" t="s">
        <v>373</v>
      </c>
      <c r="F102" s="50" t="s">
        <v>61</v>
      </c>
      <c r="G102" s="49" t="s">
        <v>318</v>
      </c>
      <c r="H102" s="49"/>
      <c r="I102" s="29"/>
      <c r="J102" s="29"/>
    </row>
    <row r="103" spans="1:10" x14ac:dyDescent="0.25">
      <c r="A103" s="49"/>
      <c r="B103" s="50" t="s">
        <v>57</v>
      </c>
      <c r="C103" s="54">
        <f>300-195</f>
        <v>105</v>
      </c>
      <c r="D103" s="52" t="s">
        <v>59</v>
      </c>
      <c r="E103" s="55">
        <f>260-195</f>
        <v>65</v>
      </c>
      <c r="F103" s="50" t="s">
        <v>61</v>
      </c>
      <c r="G103" s="56">
        <v>6000</v>
      </c>
      <c r="H103" s="50" t="s">
        <v>57</v>
      </c>
      <c r="I103" s="127">
        <f>(C103-E103)*G103</f>
        <v>240000</v>
      </c>
      <c r="J103" s="30" t="s">
        <v>39</v>
      </c>
    </row>
    <row r="104" spans="1:10" x14ac:dyDescent="0.25">
      <c r="A104" s="49"/>
      <c r="B104" s="49"/>
      <c r="C104" s="51" t="s">
        <v>426</v>
      </c>
      <c r="D104" s="49"/>
      <c r="E104" s="53" t="s">
        <v>427</v>
      </c>
      <c r="F104" s="49"/>
      <c r="G104" s="49"/>
      <c r="H104" s="49"/>
      <c r="I104" s="29"/>
      <c r="J104" s="29"/>
    </row>
    <row r="106" spans="1:10" x14ac:dyDescent="0.25">
      <c r="A106" t="s">
        <v>324</v>
      </c>
      <c r="B106" s="50" t="s">
        <v>57</v>
      </c>
      <c r="C106" s="51" t="s">
        <v>325</v>
      </c>
      <c r="D106" s="52" t="s">
        <v>59</v>
      </c>
      <c r="E106" s="53" t="s">
        <v>318</v>
      </c>
      <c r="F106" s="50" t="s">
        <v>61</v>
      </c>
      <c r="G106" s="51" t="s">
        <v>372</v>
      </c>
    </row>
    <row r="107" spans="1:10" x14ac:dyDescent="0.25">
      <c r="C107" s="8">
        <v>7500</v>
      </c>
      <c r="D107" s="52" t="s">
        <v>59</v>
      </c>
      <c r="E107" s="8">
        <v>6000</v>
      </c>
      <c r="F107" s="50" t="s">
        <v>61</v>
      </c>
      <c r="G107">
        <v>105</v>
      </c>
      <c r="H107" s="50" t="s">
        <v>57</v>
      </c>
      <c r="I107" s="126">
        <f>(C107-E107)*G107</f>
        <v>157500</v>
      </c>
      <c r="J107" s="69" t="s">
        <v>39</v>
      </c>
    </row>
  </sheetData>
  <mergeCells count="2">
    <mergeCell ref="K3:O3"/>
    <mergeCell ref="K57:O5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>
      <selection activeCell="A22" sqref="A22"/>
    </sheetView>
  </sheetViews>
  <sheetFormatPr defaultRowHeight="15" x14ac:dyDescent="0.25"/>
  <cols>
    <col min="1" max="1" width="40" bestFit="1" customWidth="1"/>
    <col min="3" max="3" width="11.5703125" bestFit="1" customWidth="1"/>
    <col min="7" max="7" width="21.5703125" customWidth="1"/>
  </cols>
  <sheetData>
    <row r="2" spans="1:7" x14ac:dyDescent="0.25">
      <c r="A2" s="9" t="s">
        <v>32</v>
      </c>
    </row>
    <row r="3" spans="1:7" x14ac:dyDescent="0.25">
      <c r="G3" s="10" t="s">
        <v>34</v>
      </c>
    </row>
    <row r="4" spans="1:7" x14ac:dyDescent="0.25">
      <c r="A4" t="s">
        <v>33</v>
      </c>
      <c r="B4" t="s">
        <v>36</v>
      </c>
      <c r="C4" s="8">
        <f>8000*25</f>
        <v>200000</v>
      </c>
      <c r="G4" t="s">
        <v>35</v>
      </c>
    </row>
    <row r="5" spans="1:7" x14ac:dyDescent="0.25">
      <c r="A5" t="s">
        <v>37</v>
      </c>
      <c r="B5" t="s">
        <v>38</v>
      </c>
      <c r="C5" s="8">
        <f>8000*40</f>
        <v>320000</v>
      </c>
    </row>
    <row r="6" spans="1:7" x14ac:dyDescent="0.25">
      <c r="A6" s="12" t="s">
        <v>2</v>
      </c>
      <c r="B6" s="12"/>
      <c r="C6" s="13">
        <f>C5-C4</f>
        <v>120000</v>
      </c>
      <c r="D6" s="14" t="s">
        <v>39</v>
      </c>
    </row>
    <row r="7" spans="1:7" x14ac:dyDescent="0.25">
      <c r="D7" s="8"/>
    </row>
    <row r="8" spans="1:7" x14ac:dyDescent="0.25">
      <c r="A8" t="s">
        <v>37</v>
      </c>
      <c r="B8" t="s">
        <v>38</v>
      </c>
      <c r="C8" s="8">
        <f>8000*40</f>
        <v>320000</v>
      </c>
      <c r="D8" s="8"/>
    </row>
    <row r="9" spans="1:7" x14ac:dyDescent="0.25">
      <c r="A9" t="s">
        <v>40</v>
      </c>
      <c r="C9" s="8">
        <v>304000</v>
      </c>
      <c r="D9" s="8"/>
    </row>
    <row r="10" spans="1:7" x14ac:dyDescent="0.25">
      <c r="A10" s="12" t="s">
        <v>42</v>
      </c>
      <c r="B10" s="12"/>
      <c r="C10" s="13">
        <f>C8-C9</f>
        <v>16000</v>
      </c>
      <c r="D10" s="14" t="s">
        <v>41</v>
      </c>
    </row>
    <row r="11" spans="1:7" x14ac:dyDescent="0.25">
      <c r="D11" s="8"/>
    </row>
    <row r="12" spans="1:7" x14ac:dyDescent="0.25">
      <c r="A12" t="s">
        <v>43</v>
      </c>
      <c r="C12" s="11">
        <f>+C6</f>
        <v>120000</v>
      </c>
      <c r="D12" s="8" t="str">
        <f>+D6</f>
        <v>A</v>
      </c>
    </row>
    <row r="13" spans="1:7" x14ac:dyDescent="0.25">
      <c r="A13" t="s">
        <v>42</v>
      </c>
      <c r="C13" s="11">
        <f>+C10</f>
        <v>16000</v>
      </c>
      <c r="D13" s="8" t="str">
        <f>+D10</f>
        <v>F</v>
      </c>
    </row>
    <row r="14" spans="1:7" x14ac:dyDescent="0.25">
      <c r="A14" s="12" t="s">
        <v>44</v>
      </c>
      <c r="B14" s="12"/>
      <c r="C14" s="13">
        <f>C12-C13</f>
        <v>104000</v>
      </c>
      <c r="D14" s="14" t="s">
        <v>39</v>
      </c>
    </row>
    <row r="15" spans="1:7" x14ac:dyDescent="0.25">
      <c r="D15" s="8"/>
    </row>
    <row r="16" spans="1:7" x14ac:dyDescent="0.25">
      <c r="A16" t="s">
        <v>33</v>
      </c>
      <c r="B16" t="s">
        <v>36</v>
      </c>
      <c r="C16" s="8">
        <f>8000*25</f>
        <v>200000</v>
      </c>
    </row>
    <row r="17" spans="1:4" x14ac:dyDescent="0.25">
      <c r="A17" t="s">
        <v>40</v>
      </c>
      <c r="C17" s="8">
        <v>304000</v>
      </c>
    </row>
    <row r="18" spans="1:4" x14ac:dyDescent="0.25">
      <c r="A18" s="12" t="s">
        <v>44</v>
      </c>
      <c r="B18" s="12"/>
      <c r="C18" s="13">
        <f>C17-C16</f>
        <v>104000</v>
      </c>
      <c r="D18" s="14" t="s">
        <v>39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1"/>
  <sheetViews>
    <sheetView workbookViewId="0">
      <selection activeCell="E22" sqref="E22"/>
    </sheetView>
  </sheetViews>
  <sheetFormatPr defaultRowHeight="15" x14ac:dyDescent="0.25"/>
  <cols>
    <col min="1" max="1" width="18.85546875" customWidth="1"/>
    <col min="2" max="2" width="14.140625" customWidth="1"/>
    <col min="3" max="3" width="15.7109375" customWidth="1"/>
    <col min="4" max="4" width="9.5703125" customWidth="1"/>
    <col min="5" max="5" width="13.85546875" customWidth="1"/>
    <col min="6" max="6" width="14.28515625" customWidth="1"/>
    <col min="7" max="7" width="13.28515625" customWidth="1"/>
    <col min="8" max="8" width="11.5703125" customWidth="1"/>
    <col min="9" max="9" width="14.140625" bestFit="1" customWidth="1"/>
  </cols>
  <sheetData>
    <row r="2" spans="1:10" x14ac:dyDescent="0.25">
      <c r="A2" s="9" t="s">
        <v>434</v>
      </c>
    </row>
    <row r="4" spans="1:10" x14ac:dyDescent="0.25">
      <c r="A4" t="s">
        <v>435</v>
      </c>
      <c r="B4" t="s">
        <v>440</v>
      </c>
      <c r="C4" s="8">
        <v>600</v>
      </c>
      <c r="D4" t="s">
        <v>438</v>
      </c>
      <c r="F4" t="s">
        <v>439</v>
      </c>
      <c r="G4" t="s">
        <v>441</v>
      </c>
      <c r="H4" s="8" t="s">
        <v>445</v>
      </c>
      <c r="I4" t="s">
        <v>444</v>
      </c>
    </row>
    <row r="5" spans="1:10" x14ac:dyDescent="0.25">
      <c r="B5" t="s">
        <v>436</v>
      </c>
      <c r="C5" s="8">
        <v>650</v>
      </c>
      <c r="D5" t="s">
        <v>438</v>
      </c>
      <c r="G5" t="s">
        <v>442</v>
      </c>
      <c r="H5" s="8" t="s">
        <v>443</v>
      </c>
    </row>
    <row r="6" spans="1:10" x14ac:dyDescent="0.25">
      <c r="B6" t="s">
        <v>60</v>
      </c>
      <c r="C6" s="8">
        <f>105336000/159600</f>
        <v>660</v>
      </c>
      <c r="D6" t="s">
        <v>437</v>
      </c>
      <c r="G6" t="s">
        <v>142</v>
      </c>
      <c r="H6" s="8" t="s">
        <v>447</v>
      </c>
      <c r="I6" t="s">
        <v>446</v>
      </c>
    </row>
    <row r="8" spans="1:10" x14ac:dyDescent="0.25">
      <c r="A8" t="s">
        <v>448</v>
      </c>
    </row>
    <row r="9" spans="1:10" x14ac:dyDescent="0.25">
      <c r="A9" s="49" t="s">
        <v>449</v>
      </c>
      <c r="B9" s="50" t="s">
        <v>57</v>
      </c>
      <c r="C9" s="51" t="s">
        <v>450</v>
      </c>
      <c r="D9" s="52" t="s">
        <v>59</v>
      </c>
      <c r="E9" s="53" t="s">
        <v>451</v>
      </c>
      <c r="F9" s="50" t="s">
        <v>61</v>
      </c>
      <c r="G9" s="49" t="s">
        <v>452</v>
      </c>
      <c r="H9" s="49"/>
      <c r="I9" s="29"/>
      <c r="J9" s="29"/>
    </row>
    <row r="10" spans="1:10" x14ac:dyDescent="0.25">
      <c r="A10" s="49"/>
      <c r="B10" s="50" t="s">
        <v>57</v>
      </c>
      <c r="C10" s="54">
        <v>600</v>
      </c>
      <c r="D10" s="52" t="s">
        <v>59</v>
      </c>
      <c r="E10" s="55">
        <v>650</v>
      </c>
      <c r="F10" s="50" t="s">
        <v>61</v>
      </c>
      <c r="G10" s="56">
        <f>2.64*60000</f>
        <v>158400</v>
      </c>
      <c r="H10" s="50" t="s">
        <v>57</v>
      </c>
      <c r="I10" s="57">
        <f>(E10-C10)*G10</f>
        <v>7920000</v>
      </c>
      <c r="J10" s="30" t="s">
        <v>39</v>
      </c>
    </row>
    <row r="11" spans="1:10" x14ac:dyDescent="0.25">
      <c r="A11" s="49"/>
      <c r="B11" s="49"/>
      <c r="C11" s="51"/>
      <c r="D11" s="49"/>
      <c r="E11" s="53"/>
      <c r="F11" s="49"/>
      <c r="G11" s="49" t="s">
        <v>453</v>
      </c>
      <c r="H11" s="49"/>
      <c r="I11" s="29"/>
      <c r="J11" s="29"/>
    </row>
    <row r="13" spans="1:10" x14ac:dyDescent="0.25">
      <c r="A13" s="49" t="s">
        <v>454</v>
      </c>
      <c r="B13" s="50" t="s">
        <v>57</v>
      </c>
      <c r="C13" s="51" t="s">
        <v>455</v>
      </c>
      <c r="D13" s="52" t="s">
        <v>59</v>
      </c>
      <c r="E13" s="53" t="s">
        <v>456</v>
      </c>
      <c r="F13" s="50" t="s">
        <v>61</v>
      </c>
      <c r="G13" s="51" t="s">
        <v>450</v>
      </c>
      <c r="H13" s="49"/>
      <c r="I13" s="29"/>
      <c r="J13" s="29"/>
    </row>
    <row r="14" spans="1:10" x14ac:dyDescent="0.25">
      <c r="A14" s="49"/>
      <c r="B14" s="50" t="s">
        <v>57</v>
      </c>
      <c r="C14" s="54">
        <f>2.4*60000</f>
        <v>144000</v>
      </c>
      <c r="D14" s="52" t="s">
        <v>59</v>
      </c>
      <c r="E14" s="56">
        <f>2.64*60000</f>
        <v>158400</v>
      </c>
      <c r="F14" s="50" t="s">
        <v>61</v>
      </c>
      <c r="G14" s="56">
        <v>600</v>
      </c>
      <c r="H14" s="50" t="s">
        <v>57</v>
      </c>
      <c r="I14" s="57">
        <f>(E14-C14)*G14</f>
        <v>8640000</v>
      </c>
      <c r="J14" s="30" t="s">
        <v>39</v>
      </c>
    </row>
    <row r="15" spans="1:10" x14ac:dyDescent="0.25">
      <c r="A15" s="49"/>
      <c r="B15" s="49"/>
      <c r="C15" s="51" t="s">
        <v>457</v>
      </c>
      <c r="D15" s="49"/>
      <c r="E15" s="49" t="s">
        <v>453</v>
      </c>
      <c r="F15" s="49"/>
      <c r="G15" s="49"/>
      <c r="H15" s="49"/>
      <c r="I15" s="29"/>
      <c r="J15" s="29"/>
    </row>
    <row r="17" spans="1:10" x14ac:dyDescent="0.25">
      <c r="A17" t="s">
        <v>458</v>
      </c>
    </row>
    <row r="18" spans="1:10" x14ac:dyDescent="0.25">
      <c r="A18" s="49" t="s">
        <v>459</v>
      </c>
      <c r="B18" s="50" t="s">
        <v>57</v>
      </c>
      <c r="C18" s="51" t="s">
        <v>460</v>
      </c>
      <c r="D18" s="52" t="s">
        <v>59</v>
      </c>
      <c r="E18" s="53" t="s">
        <v>135</v>
      </c>
      <c r="F18" s="50" t="s">
        <v>61</v>
      </c>
      <c r="G18" s="49" t="s">
        <v>136</v>
      </c>
      <c r="H18" s="49"/>
      <c r="I18" s="29"/>
      <c r="J18" s="29"/>
    </row>
    <row r="19" spans="1:10" x14ac:dyDescent="0.25">
      <c r="A19" s="49"/>
      <c r="B19" s="50" t="s">
        <v>57</v>
      </c>
      <c r="C19" s="54">
        <v>650</v>
      </c>
      <c r="D19" s="52" t="s">
        <v>59</v>
      </c>
      <c r="E19" s="55">
        <v>660</v>
      </c>
      <c r="F19" s="50" t="s">
        <v>61</v>
      </c>
      <c r="G19" s="56">
        <v>159600</v>
      </c>
      <c r="H19" s="50" t="s">
        <v>57</v>
      </c>
      <c r="I19" s="57">
        <f>(E19-C19)*G19</f>
        <v>1596000</v>
      </c>
      <c r="J19" s="30" t="s">
        <v>39</v>
      </c>
    </row>
    <row r="20" spans="1:10" x14ac:dyDescent="0.25">
      <c r="A20" s="49"/>
      <c r="B20" s="49"/>
      <c r="C20" s="51"/>
      <c r="D20" s="49"/>
      <c r="E20" t="s">
        <v>437</v>
      </c>
      <c r="F20" s="49"/>
      <c r="G20" s="49"/>
      <c r="H20" s="49"/>
      <c r="I20" s="29"/>
      <c r="J20" s="29"/>
    </row>
    <row r="22" spans="1:10" x14ac:dyDescent="0.25">
      <c r="A22" s="49" t="s">
        <v>461</v>
      </c>
      <c r="B22" s="50" t="s">
        <v>57</v>
      </c>
      <c r="C22" s="51" t="s">
        <v>462</v>
      </c>
      <c r="D22" s="52" t="s">
        <v>59</v>
      </c>
      <c r="E22" s="53" t="s">
        <v>142</v>
      </c>
      <c r="F22" s="50" t="s">
        <v>61</v>
      </c>
      <c r="G22" s="51" t="s">
        <v>460</v>
      </c>
      <c r="H22" s="49"/>
      <c r="I22" s="29"/>
      <c r="J22" s="29"/>
    </row>
    <row r="23" spans="1:10" x14ac:dyDescent="0.25">
      <c r="A23" s="49"/>
      <c r="B23" s="50" t="s">
        <v>57</v>
      </c>
      <c r="C23" s="54">
        <f>2.64*60000</f>
        <v>158400</v>
      </c>
      <c r="D23" s="52" t="s">
        <v>59</v>
      </c>
      <c r="E23" s="56">
        <v>159600</v>
      </c>
      <c r="F23" s="50" t="s">
        <v>61</v>
      </c>
      <c r="G23" s="56">
        <v>650</v>
      </c>
      <c r="H23" s="50" t="s">
        <v>57</v>
      </c>
      <c r="I23" s="57">
        <f>(E23-C23)*G23</f>
        <v>780000</v>
      </c>
      <c r="J23" s="30" t="s">
        <v>39</v>
      </c>
    </row>
    <row r="24" spans="1:10" x14ac:dyDescent="0.25">
      <c r="A24" s="49"/>
      <c r="B24" s="49"/>
      <c r="C24" s="51" t="s">
        <v>453</v>
      </c>
      <c r="D24" s="49"/>
      <c r="E24" s="49"/>
      <c r="F24" s="49"/>
      <c r="G24" s="49"/>
      <c r="H24" s="49"/>
      <c r="I24" s="29"/>
      <c r="J24" s="29"/>
    </row>
    <row r="26" spans="1:10" x14ac:dyDescent="0.25">
      <c r="A26" t="s">
        <v>192</v>
      </c>
    </row>
    <row r="27" spans="1:10" x14ac:dyDescent="0.25">
      <c r="A27" s="49" t="s">
        <v>463</v>
      </c>
      <c r="B27" s="50" t="s">
        <v>57</v>
      </c>
      <c r="C27" s="51" t="s">
        <v>153</v>
      </c>
      <c r="D27" s="52" t="s">
        <v>59</v>
      </c>
      <c r="E27" s="53" t="s">
        <v>60</v>
      </c>
      <c r="F27" s="50" t="s">
        <v>61</v>
      </c>
      <c r="G27" s="49" t="s">
        <v>66</v>
      </c>
      <c r="H27" s="49"/>
      <c r="I27" s="29"/>
      <c r="J27" s="29"/>
    </row>
    <row r="28" spans="1:10" x14ac:dyDescent="0.25">
      <c r="A28" s="49"/>
      <c r="B28" s="50" t="s">
        <v>57</v>
      </c>
      <c r="C28" s="54">
        <f>3*100</f>
        <v>300</v>
      </c>
      <c r="D28" s="52" t="s">
        <v>59</v>
      </c>
      <c r="E28" s="55">
        <v>315</v>
      </c>
      <c r="F28" s="50" t="s">
        <v>61</v>
      </c>
      <c r="G28" s="56">
        <v>10000</v>
      </c>
      <c r="H28" s="50" t="s">
        <v>57</v>
      </c>
      <c r="I28" s="57">
        <f>(E28-C28)*G28</f>
        <v>150000</v>
      </c>
      <c r="J28" s="30" t="s">
        <v>39</v>
      </c>
    </row>
    <row r="29" spans="1:10" x14ac:dyDescent="0.25">
      <c r="A29" s="49"/>
      <c r="B29" s="49"/>
      <c r="C29" s="51" t="s">
        <v>464</v>
      </c>
      <c r="D29" s="49"/>
      <c r="F29" s="49"/>
      <c r="G29" s="49"/>
      <c r="H29" s="49"/>
      <c r="I29" s="29"/>
      <c r="J29" s="29"/>
    </row>
    <row r="31" spans="1:10" x14ac:dyDescent="0.25">
      <c r="A31" s="49" t="s">
        <v>465</v>
      </c>
      <c r="B31" s="50" t="s">
        <v>57</v>
      </c>
      <c r="C31" s="51" t="s">
        <v>153</v>
      </c>
      <c r="D31" s="52" t="s">
        <v>59</v>
      </c>
      <c r="E31" s="53" t="s">
        <v>60</v>
      </c>
      <c r="F31" s="50" t="s">
        <v>61</v>
      </c>
      <c r="G31" s="49" t="s">
        <v>66</v>
      </c>
      <c r="H31" s="49"/>
      <c r="I31" s="29"/>
      <c r="J31" s="29"/>
    </row>
    <row r="32" spans="1:10" x14ac:dyDescent="0.25">
      <c r="A32" s="49"/>
      <c r="B32" s="50" t="s">
        <v>57</v>
      </c>
      <c r="C32" s="54">
        <f>2*100</f>
        <v>200</v>
      </c>
      <c r="D32" s="52" t="s">
        <v>59</v>
      </c>
      <c r="E32" s="55">
        <f>2470000/13000</f>
        <v>190</v>
      </c>
      <c r="F32" s="50" t="s">
        <v>61</v>
      </c>
      <c r="G32" s="56">
        <v>13000</v>
      </c>
      <c r="H32" s="50" t="s">
        <v>57</v>
      </c>
      <c r="I32" s="57">
        <f>(C32-E32)*G32</f>
        <v>130000</v>
      </c>
      <c r="J32" s="30" t="s">
        <v>41</v>
      </c>
    </row>
    <row r="33" spans="1:10" x14ac:dyDescent="0.25">
      <c r="A33" s="49"/>
      <c r="B33" s="49"/>
      <c r="C33" s="51" t="s">
        <v>467</v>
      </c>
      <c r="D33" s="49"/>
      <c r="E33" t="s">
        <v>466</v>
      </c>
      <c r="F33" s="49"/>
      <c r="G33" s="49"/>
      <c r="H33" s="49"/>
      <c r="I33" s="29"/>
      <c r="J33" s="29"/>
    </row>
    <row r="35" spans="1:10" x14ac:dyDescent="0.25">
      <c r="A35" s="49" t="s">
        <v>469</v>
      </c>
      <c r="B35" s="50" t="s">
        <v>57</v>
      </c>
      <c r="C35" s="51" t="s">
        <v>155</v>
      </c>
      <c r="D35" s="52" t="s">
        <v>59</v>
      </c>
      <c r="E35" s="53" t="s">
        <v>66</v>
      </c>
      <c r="F35" s="50" t="s">
        <v>61</v>
      </c>
      <c r="G35" s="49" t="s">
        <v>153</v>
      </c>
      <c r="H35" s="49"/>
      <c r="I35" s="29"/>
      <c r="J35" s="29"/>
    </row>
    <row r="36" spans="1:10" x14ac:dyDescent="0.25">
      <c r="A36" s="49"/>
      <c r="B36" s="50" t="s">
        <v>57</v>
      </c>
      <c r="C36" s="54">
        <f>60000*0.2</f>
        <v>12000</v>
      </c>
      <c r="D36" s="52" t="s">
        <v>59</v>
      </c>
      <c r="E36" s="55">
        <v>10000</v>
      </c>
      <c r="F36" s="50" t="s">
        <v>61</v>
      </c>
      <c r="G36" s="56">
        <v>300</v>
      </c>
      <c r="H36" s="50" t="s">
        <v>57</v>
      </c>
      <c r="I36" s="57">
        <f>(C36-E36)*G36</f>
        <v>600000</v>
      </c>
      <c r="J36" s="30" t="s">
        <v>41</v>
      </c>
    </row>
    <row r="37" spans="1:10" x14ac:dyDescent="0.25">
      <c r="A37" s="49"/>
      <c r="B37" s="49"/>
      <c r="C37" s="51" t="s">
        <v>468</v>
      </c>
      <c r="D37" s="49"/>
      <c r="F37" s="49"/>
      <c r="G37" s="49"/>
      <c r="H37" s="49"/>
      <c r="I37" s="29"/>
      <c r="J37" s="29"/>
    </row>
    <row r="39" spans="1:10" x14ac:dyDescent="0.25">
      <c r="A39" s="49" t="s">
        <v>470</v>
      </c>
      <c r="B39" s="50" t="s">
        <v>57</v>
      </c>
      <c r="C39" s="51" t="s">
        <v>155</v>
      </c>
      <c r="D39" s="52" t="s">
        <v>59</v>
      </c>
      <c r="E39" s="53" t="s">
        <v>66</v>
      </c>
      <c r="F39" s="50" t="s">
        <v>61</v>
      </c>
      <c r="G39" s="49" t="s">
        <v>153</v>
      </c>
      <c r="H39" s="49"/>
      <c r="I39" s="29"/>
      <c r="J39" s="29"/>
    </row>
    <row r="40" spans="1:10" x14ac:dyDescent="0.25">
      <c r="A40" s="49"/>
      <c r="B40" s="50" t="s">
        <v>57</v>
      </c>
      <c r="C40" s="54">
        <f>60000*0.133333333333333</f>
        <v>8000</v>
      </c>
      <c r="D40" s="52" t="s">
        <v>59</v>
      </c>
      <c r="E40" s="55">
        <v>13000</v>
      </c>
      <c r="F40" s="50" t="s">
        <v>61</v>
      </c>
      <c r="G40" s="56">
        <v>200</v>
      </c>
      <c r="H40" s="50" t="s">
        <v>57</v>
      </c>
      <c r="I40" s="57">
        <f>(E40-C40)*G40</f>
        <v>1000000</v>
      </c>
      <c r="J40" s="30" t="s">
        <v>39</v>
      </c>
    </row>
    <row r="41" spans="1:10" x14ac:dyDescent="0.25">
      <c r="A41" s="49"/>
      <c r="B41" s="49"/>
      <c r="C41" s="51" t="s">
        <v>471</v>
      </c>
      <c r="D41" s="49"/>
      <c r="F41" s="49"/>
      <c r="G41" s="49"/>
      <c r="H41" s="49"/>
      <c r="I41" s="29"/>
      <c r="J41" s="29"/>
    </row>
    <row r="44" spans="1:10" x14ac:dyDescent="0.25">
      <c r="A44" s="9" t="s">
        <v>285</v>
      </c>
      <c r="D44" s="9"/>
      <c r="E44" s="9"/>
      <c r="F44" s="9"/>
    </row>
    <row r="45" spans="1:10" ht="30" x14ac:dyDescent="0.25">
      <c r="A45" s="97" t="s">
        <v>286</v>
      </c>
      <c r="B45" s="98" t="s">
        <v>287</v>
      </c>
      <c r="C45" s="98" t="s">
        <v>288</v>
      </c>
      <c r="D45" s="99" t="s">
        <v>289</v>
      </c>
      <c r="E45" s="100" t="s">
        <v>290</v>
      </c>
      <c r="F45" s="97" t="s">
        <v>225</v>
      </c>
    </row>
    <row r="46" spans="1:10" x14ac:dyDescent="0.25">
      <c r="A46" s="49" t="s">
        <v>276</v>
      </c>
      <c r="B46" s="91">
        <v>10000</v>
      </c>
      <c r="C46" s="91">
        <f>1150*12</f>
        <v>13800</v>
      </c>
      <c r="D46" s="94" t="s">
        <v>475</v>
      </c>
      <c r="E46" s="91">
        <v>300</v>
      </c>
      <c r="F46" s="91">
        <f>3800*300</f>
        <v>1140000</v>
      </c>
      <c r="G46" s="91" t="s">
        <v>41</v>
      </c>
    </row>
    <row r="47" spans="1:10" x14ac:dyDescent="0.25">
      <c r="A47" s="49"/>
      <c r="B47" s="91"/>
      <c r="C47" s="93" t="s">
        <v>472</v>
      </c>
      <c r="D47" s="91"/>
      <c r="E47" s="91"/>
      <c r="F47" s="69"/>
      <c r="G47" s="91"/>
    </row>
    <row r="48" spans="1:10" x14ac:dyDescent="0.25">
      <c r="A48" s="29" t="s">
        <v>277</v>
      </c>
      <c r="B48" s="91">
        <v>13000</v>
      </c>
      <c r="C48" s="94">
        <f>1150*8</f>
        <v>9200</v>
      </c>
      <c r="D48" s="94" t="s">
        <v>474</v>
      </c>
      <c r="E48" s="91">
        <v>200</v>
      </c>
      <c r="F48" s="91">
        <f>3800*200</f>
        <v>760000</v>
      </c>
      <c r="G48" s="91" t="s">
        <v>39</v>
      </c>
    </row>
    <row r="49" spans="1:9" x14ac:dyDescent="0.25">
      <c r="B49" s="69"/>
      <c r="C49" s="93" t="s">
        <v>473</v>
      </c>
      <c r="D49" s="69"/>
      <c r="E49" s="69"/>
      <c r="F49" s="69"/>
      <c r="G49" s="91"/>
    </row>
    <row r="50" spans="1:9" ht="15.75" thickBot="1" x14ac:dyDescent="0.3">
      <c r="B50" s="70">
        <f>SUM(B46:B49)</f>
        <v>23000</v>
      </c>
      <c r="C50" s="70">
        <f>B50</f>
        <v>23000</v>
      </c>
      <c r="D50" s="25">
        <v>0</v>
      </c>
      <c r="F50" s="21">
        <f>F46-F48</f>
        <v>380000</v>
      </c>
      <c r="G50" s="14" t="s">
        <v>41</v>
      </c>
    </row>
    <row r="51" spans="1:9" ht="15.75" thickTop="1" x14ac:dyDescent="0.25">
      <c r="G51" s="8"/>
    </row>
    <row r="52" spans="1:9" x14ac:dyDescent="0.25">
      <c r="G52" s="8"/>
    </row>
    <row r="54" spans="1:9" x14ac:dyDescent="0.25">
      <c r="A54" s="9" t="s">
        <v>295</v>
      </c>
      <c r="D54" s="9"/>
      <c r="E54" s="9"/>
      <c r="F54" s="9"/>
    </row>
    <row r="55" spans="1:9" ht="30" x14ac:dyDescent="0.25">
      <c r="A55" s="97" t="s">
        <v>286</v>
      </c>
      <c r="B55" s="98" t="s">
        <v>296</v>
      </c>
      <c r="C55" s="98" t="s">
        <v>288</v>
      </c>
      <c r="D55" s="99" t="s">
        <v>289</v>
      </c>
      <c r="E55" s="100" t="s">
        <v>290</v>
      </c>
      <c r="F55" s="97" t="s">
        <v>225</v>
      </c>
    </row>
    <row r="56" spans="1:9" x14ac:dyDescent="0.25">
      <c r="A56" s="49" t="s">
        <v>276</v>
      </c>
      <c r="B56" s="94">
        <f>60000*0.2</f>
        <v>12000</v>
      </c>
      <c r="C56" s="91">
        <f>1150*12</f>
        <v>13800</v>
      </c>
      <c r="D56" s="94" t="s">
        <v>476</v>
      </c>
      <c r="E56" s="91">
        <v>300</v>
      </c>
      <c r="F56" s="91">
        <f>1800*300</f>
        <v>540000</v>
      </c>
      <c r="G56" s="91" t="s">
        <v>39</v>
      </c>
    </row>
    <row r="57" spans="1:9" x14ac:dyDescent="0.25">
      <c r="A57" s="49"/>
      <c r="B57" s="101" t="s">
        <v>468</v>
      </c>
      <c r="C57" s="93" t="s">
        <v>472</v>
      </c>
      <c r="D57" s="91"/>
      <c r="E57" s="91"/>
      <c r="F57" s="69"/>
      <c r="G57" s="91"/>
    </row>
    <row r="58" spans="1:9" x14ac:dyDescent="0.25">
      <c r="A58" s="29" t="s">
        <v>277</v>
      </c>
      <c r="B58" s="94">
        <f>60000*0.133333333333333</f>
        <v>8000</v>
      </c>
      <c r="C58" s="94">
        <f>1150*8</f>
        <v>9200</v>
      </c>
      <c r="D58" s="94" t="s">
        <v>338</v>
      </c>
      <c r="E58" s="91">
        <v>200</v>
      </c>
      <c r="F58" s="91">
        <f>1200*200</f>
        <v>240000</v>
      </c>
      <c r="G58" s="91" t="s">
        <v>39</v>
      </c>
    </row>
    <row r="59" spans="1:9" x14ac:dyDescent="0.25">
      <c r="B59" s="102" t="s">
        <v>471</v>
      </c>
      <c r="C59" s="93" t="s">
        <v>473</v>
      </c>
      <c r="D59" s="69"/>
      <c r="E59" s="69"/>
      <c r="F59" s="69"/>
      <c r="G59" s="91"/>
    </row>
    <row r="60" spans="1:9" ht="15.75" thickBot="1" x14ac:dyDescent="0.3">
      <c r="B60" s="70">
        <f>SUM(B56:B59)</f>
        <v>20000</v>
      </c>
      <c r="C60" s="70">
        <f>+C56+C58</f>
        <v>23000</v>
      </c>
      <c r="D60" s="79" t="s">
        <v>477</v>
      </c>
      <c r="F60" s="21">
        <f>SUM(F56:F59)</f>
        <v>780000</v>
      </c>
      <c r="G60" s="14" t="s">
        <v>39</v>
      </c>
      <c r="I60" s="11">
        <f>+F60-F50</f>
        <v>400000</v>
      </c>
    </row>
    <row r="61" spans="1:9" ht="15.75" thickTop="1" x14ac:dyDescent="0.25"/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workbookViewId="0">
      <selection activeCell="H20" sqref="H20"/>
    </sheetView>
  </sheetViews>
  <sheetFormatPr defaultRowHeight="15" x14ac:dyDescent="0.25"/>
  <cols>
    <col min="1" max="1" width="15.5703125" customWidth="1"/>
    <col min="2" max="2" width="11.28515625" customWidth="1"/>
    <col min="3" max="3" width="12" customWidth="1"/>
    <col min="5" max="5" width="13.85546875" customWidth="1"/>
    <col min="6" max="6" width="14.28515625" bestFit="1" customWidth="1"/>
    <col min="7" max="7" width="16.42578125" customWidth="1"/>
    <col min="9" max="9" width="15" bestFit="1" customWidth="1"/>
  </cols>
  <sheetData>
    <row r="2" spans="1:10" x14ac:dyDescent="0.25">
      <c r="A2" t="s">
        <v>478</v>
      </c>
    </row>
    <row r="4" spans="1:10" x14ac:dyDescent="0.25">
      <c r="A4" t="s">
        <v>324</v>
      </c>
      <c r="B4" s="19" t="s">
        <v>57</v>
      </c>
      <c r="C4" t="s">
        <v>325</v>
      </c>
      <c r="D4" s="20" t="s">
        <v>59</v>
      </c>
      <c r="E4" t="s">
        <v>318</v>
      </c>
      <c r="F4" s="19" t="s">
        <v>61</v>
      </c>
      <c r="G4" s="51" t="s">
        <v>479</v>
      </c>
      <c r="J4" s="8"/>
    </row>
    <row r="5" spans="1:10" x14ac:dyDescent="0.25">
      <c r="A5" s="49" t="s">
        <v>480</v>
      </c>
      <c r="B5" s="19" t="s">
        <v>57</v>
      </c>
      <c r="C5" s="8">
        <v>3000</v>
      </c>
      <c r="D5" s="20" t="s">
        <v>59</v>
      </c>
      <c r="E5" s="8">
        <v>2500</v>
      </c>
      <c r="F5" s="19" t="s">
        <v>61</v>
      </c>
      <c r="G5" s="8">
        <f>15000*0.3</f>
        <v>4500</v>
      </c>
      <c r="H5" s="19" t="s">
        <v>57</v>
      </c>
      <c r="I5" s="11">
        <f>(C5-E5)*G5</f>
        <v>2250000</v>
      </c>
      <c r="J5" s="8" t="s">
        <v>39</v>
      </c>
    </row>
    <row r="6" spans="1:10" x14ac:dyDescent="0.25">
      <c r="A6" s="49"/>
      <c r="C6" s="3"/>
      <c r="G6" s="15" t="s">
        <v>482</v>
      </c>
      <c r="J6" s="8"/>
    </row>
    <row r="7" spans="1:10" x14ac:dyDescent="0.25">
      <c r="A7" s="29" t="s">
        <v>481</v>
      </c>
      <c r="B7" s="19" t="s">
        <v>57</v>
      </c>
      <c r="C7" s="26">
        <v>6000</v>
      </c>
      <c r="D7" s="20" t="s">
        <v>59</v>
      </c>
      <c r="E7" s="8">
        <v>9200</v>
      </c>
      <c r="F7" s="19" t="s">
        <v>61</v>
      </c>
      <c r="G7" s="8">
        <f>30000*0.416666666666666</f>
        <v>12499.99999999998</v>
      </c>
      <c r="H7" s="19" t="s">
        <v>57</v>
      </c>
      <c r="I7" s="11">
        <f>(E7-C7)*G7</f>
        <v>39999999.999999933</v>
      </c>
      <c r="J7" s="8" t="s">
        <v>41</v>
      </c>
    </row>
    <row r="8" spans="1:10" x14ac:dyDescent="0.25">
      <c r="C8" s="3"/>
      <c r="G8" s="2" t="s">
        <v>483</v>
      </c>
      <c r="J8" s="8"/>
    </row>
    <row r="9" spans="1:10" ht="15.75" thickBot="1" x14ac:dyDescent="0.3">
      <c r="I9" s="74">
        <f>I7-I5</f>
        <v>37749999.999999933</v>
      </c>
      <c r="J9" s="15" t="s">
        <v>41</v>
      </c>
    </row>
    <row r="10" spans="1:10" ht="15.75" thickTop="1" x14ac:dyDescent="0.25">
      <c r="J10" s="8"/>
    </row>
    <row r="11" spans="1:10" x14ac:dyDescent="0.25">
      <c r="A11" s="9" t="s">
        <v>326</v>
      </c>
      <c r="D11" s="9"/>
      <c r="E11" s="9"/>
      <c r="F11" s="9"/>
      <c r="J11" s="8"/>
    </row>
    <row r="12" spans="1:10" ht="30" x14ac:dyDescent="0.25">
      <c r="A12" s="97" t="s">
        <v>327</v>
      </c>
      <c r="B12" s="98" t="s">
        <v>328</v>
      </c>
      <c r="C12" s="98" t="s">
        <v>329</v>
      </c>
      <c r="D12" s="99" t="s">
        <v>224</v>
      </c>
      <c r="E12" s="143" t="s">
        <v>490</v>
      </c>
      <c r="F12" s="97" t="s">
        <v>225</v>
      </c>
      <c r="J12" s="8"/>
    </row>
    <row r="13" spans="1:10" x14ac:dyDescent="0.25">
      <c r="A13" s="49" t="s">
        <v>480</v>
      </c>
      <c r="B13" s="91">
        <v>2500</v>
      </c>
      <c r="C13" s="91">
        <v>3900</v>
      </c>
      <c r="D13" s="94" t="s">
        <v>486</v>
      </c>
      <c r="E13" s="91">
        <v>4500</v>
      </c>
      <c r="F13" s="91">
        <f>1400*4500</f>
        <v>6300000</v>
      </c>
      <c r="G13" s="91" t="s">
        <v>39</v>
      </c>
      <c r="I13" s="11"/>
      <c r="J13" s="8"/>
    </row>
    <row r="14" spans="1:10" x14ac:dyDescent="0.25">
      <c r="A14" s="49"/>
      <c r="B14" s="91"/>
      <c r="C14" s="93" t="s">
        <v>484</v>
      </c>
      <c r="D14" s="91"/>
      <c r="E14" s="91"/>
      <c r="F14" s="69"/>
      <c r="G14" s="91"/>
      <c r="J14" s="8"/>
    </row>
    <row r="15" spans="1:10" x14ac:dyDescent="0.25">
      <c r="A15" s="29" t="s">
        <v>481</v>
      </c>
      <c r="B15" s="91">
        <v>9200</v>
      </c>
      <c r="C15" s="94">
        <f>11700*0.666666666666667</f>
        <v>7800</v>
      </c>
      <c r="D15" s="94" t="s">
        <v>487</v>
      </c>
      <c r="E15" s="91">
        <v>12500</v>
      </c>
      <c r="F15" s="91">
        <f>1400*12500</f>
        <v>17500000</v>
      </c>
      <c r="G15" s="91" t="s">
        <v>41</v>
      </c>
      <c r="J15" s="8"/>
    </row>
    <row r="16" spans="1:10" x14ac:dyDescent="0.25">
      <c r="B16" s="69"/>
      <c r="C16" s="96" t="s">
        <v>485</v>
      </c>
      <c r="D16" s="69"/>
      <c r="E16" s="69"/>
      <c r="F16" s="69"/>
      <c r="G16" s="91"/>
      <c r="J16" s="8"/>
    </row>
    <row r="17" spans="1:10" ht="15.75" thickBot="1" x14ac:dyDescent="0.3">
      <c r="B17" s="70">
        <f>SUM(B13:B16)</f>
        <v>11700</v>
      </c>
      <c r="C17" s="70">
        <f>B17</f>
        <v>11700</v>
      </c>
      <c r="D17" s="25">
        <v>0</v>
      </c>
      <c r="F17" s="21">
        <f>F15-F13</f>
        <v>11200000</v>
      </c>
      <c r="G17" s="14"/>
      <c r="J17" s="8"/>
    </row>
    <row r="18" spans="1:10" ht="15.75" thickTop="1" x14ac:dyDescent="0.25">
      <c r="G18" s="8"/>
      <c r="J18" s="8"/>
    </row>
    <row r="19" spans="1:10" x14ac:dyDescent="0.25">
      <c r="G19" s="8"/>
      <c r="J19" s="8"/>
    </row>
    <row r="20" spans="1:10" x14ac:dyDescent="0.25">
      <c r="J20" s="8"/>
    </row>
    <row r="21" spans="1:10" x14ac:dyDescent="0.25">
      <c r="A21" s="9" t="s">
        <v>335</v>
      </c>
      <c r="D21" s="9"/>
      <c r="E21" s="9"/>
      <c r="F21" s="9"/>
      <c r="J21" s="8"/>
    </row>
    <row r="22" spans="1:10" ht="30" x14ac:dyDescent="0.25">
      <c r="A22" s="97" t="s">
        <v>327</v>
      </c>
      <c r="B22" s="98" t="s">
        <v>336</v>
      </c>
      <c r="C22" s="98" t="s">
        <v>329</v>
      </c>
      <c r="D22" s="99" t="s">
        <v>224</v>
      </c>
      <c r="E22" s="143" t="s">
        <v>490</v>
      </c>
      <c r="F22" s="97" t="s">
        <v>225</v>
      </c>
      <c r="J22" s="8"/>
    </row>
    <row r="23" spans="1:10" x14ac:dyDescent="0.25">
      <c r="A23" s="49" t="s">
        <v>480</v>
      </c>
      <c r="B23" s="94">
        <v>3000</v>
      </c>
      <c r="C23" s="91">
        <v>3900</v>
      </c>
      <c r="D23" s="94" t="s">
        <v>488</v>
      </c>
      <c r="E23" s="91">
        <v>4500</v>
      </c>
      <c r="F23" s="91">
        <f>900*E23</f>
        <v>4050000</v>
      </c>
      <c r="G23" s="91" t="s">
        <v>41</v>
      </c>
      <c r="J23" s="8"/>
    </row>
    <row r="24" spans="1:10" x14ac:dyDescent="0.25">
      <c r="A24" s="49"/>
      <c r="B24" s="101"/>
      <c r="C24" s="93" t="s">
        <v>484</v>
      </c>
      <c r="D24" s="91"/>
      <c r="E24" s="91"/>
      <c r="F24" s="69"/>
      <c r="G24" s="91"/>
      <c r="J24" s="8"/>
    </row>
    <row r="25" spans="1:10" x14ac:dyDescent="0.25">
      <c r="A25" s="29" t="s">
        <v>481</v>
      </c>
      <c r="B25" s="94">
        <v>6000</v>
      </c>
      <c r="C25" s="94">
        <f>11700*0.666666666666667</f>
        <v>7800</v>
      </c>
      <c r="D25" s="94" t="s">
        <v>489</v>
      </c>
      <c r="E25" s="91">
        <v>12500</v>
      </c>
      <c r="F25" s="91">
        <f>1800*E25</f>
        <v>22500000</v>
      </c>
      <c r="G25" s="91" t="s">
        <v>41</v>
      </c>
      <c r="J25" s="8"/>
    </row>
    <row r="26" spans="1:10" x14ac:dyDescent="0.25">
      <c r="B26" s="102"/>
      <c r="C26" s="96" t="s">
        <v>485</v>
      </c>
      <c r="D26" s="69"/>
      <c r="E26" s="69"/>
      <c r="F26" s="69"/>
      <c r="G26" s="91"/>
      <c r="J26" s="8"/>
    </row>
    <row r="27" spans="1:10" ht="15.75" thickBot="1" x14ac:dyDescent="0.3">
      <c r="B27" s="70">
        <f>SUM(B23:B26)</f>
        <v>9000</v>
      </c>
      <c r="C27" s="70">
        <f>+C23+C25</f>
        <v>11700</v>
      </c>
      <c r="D27" s="79"/>
      <c r="F27" s="21">
        <f>SUM(F23:F26)</f>
        <v>26550000</v>
      </c>
      <c r="G27" s="14" t="s">
        <v>41</v>
      </c>
      <c r="I27" s="11"/>
      <c r="J27" s="8"/>
    </row>
    <row r="28" spans="1:10" ht="15.75" thickTop="1" x14ac:dyDescent="0.25"/>
  </sheetData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0"/>
  <sheetViews>
    <sheetView workbookViewId="0">
      <selection activeCell="G21" sqref="G21"/>
    </sheetView>
  </sheetViews>
  <sheetFormatPr defaultRowHeight="15" x14ac:dyDescent="0.25"/>
  <cols>
    <col min="1" max="1" width="15.42578125" bestFit="1" customWidth="1"/>
    <col min="2" max="2" width="11" customWidth="1"/>
    <col min="3" max="3" width="13.28515625" customWidth="1"/>
    <col min="4" max="4" width="11.5703125" customWidth="1"/>
    <col min="5" max="5" width="13.7109375" customWidth="1"/>
    <col min="6" max="7" width="13.5703125" customWidth="1"/>
    <col min="9" max="9" width="12.42578125" customWidth="1"/>
    <col min="11" max="11" width="9.5703125" bestFit="1" customWidth="1"/>
  </cols>
  <sheetData>
    <row r="2" spans="1:11" x14ac:dyDescent="0.25">
      <c r="A2" s="9" t="s">
        <v>491</v>
      </c>
    </row>
    <row r="3" spans="1:11" x14ac:dyDescent="0.25">
      <c r="C3" s="131" t="s">
        <v>495</v>
      </c>
      <c r="I3" s="131" t="s">
        <v>499</v>
      </c>
    </row>
    <row r="4" spans="1:11" x14ac:dyDescent="0.25">
      <c r="A4" t="s">
        <v>492</v>
      </c>
      <c r="B4" t="s">
        <v>493</v>
      </c>
      <c r="C4" s="8">
        <v>200</v>
      </c>
      <c r="D4" t="s">
        <v>494</v>
      </c>
      <c r="G4" t="s">
        <v>500</v>
      </c>
      <c r="H4" t="s">
        <v>493</v>
      </c>
      <c r="I4" s="8">
        <v>3</v>
      </c>
    </row>
    <row r="5" spans="1:11" x14ac:dyDescent="0.25">
      <c r="B5" t="s">
        <v>496</v>
      </c>
      <c r="C5" s="8">
        <f>200*0.9</f>
        <v>180</v>
      </c>
      <c r="D5" t="s">
        <v>497</v>
      </c>
      <c r="H5" t="s">
        <v>496</v>
      </c>
      <c r="I5" s="8">
        <f>3*1.15</f>
        <v>3.4499999999999997</v>
      </c>
      <c r="J5" t="s">
        <v>501</v>
      </c>
    </row>
    <row r="6" spans="1:11" x14ac:dyDescent="0.25">
      <c r="B6" t="s">
        <v>407</v>
      </c>
      <c r="C6" s="8">
        <f>4752000/26400</f>
        <v>180</v>
      </c>
      <c r="D6" t="s">
        <v>498</v>
      </c>
      <c r="H6" t="s">
        <v>407</v>
      </c>
      <c r="I6" s="8">
        <f>26400/8000</f>
        <v>3.3</v>
      </c>
      <c r="J6" t="s">
        <v>502</v>
      </c>
    </row>
    <row r="12" spans="1:11" x14ac:dyDescent="0.25">
      <c r="A12" s="49" t="s">
        <v>503</v>
      </c>
      <c r="B12" s="50" t="s">
        <v>57</v>
      </c>
      <c r="C12" s="51" t="s">
        <v>67</v>
      </c>
      <c r="D12" s="52" t="s">
        <v>59</v>
      </c>
      <c r="E12" s="53" t="s">
        <v>72</v>
      </c>
      <c r="F12" s="50" t="s">
        <v>61</v>
      </c>
      <c r="G12" s="49" t="s">
        <v>504</v>
      </c>
      <c r="H12" s="49"/>
      <c r="I12" s="49"/>
      <c r="J12" s="49"/>
      <c r="K12" s="49"/>
    </row>
    <row r="13" spans="1:11" x14ac:dyDescent="0.25">
      <c r="A13" s="49"/>
      <c r="B13" s="50" t="s">
        <v>57</v>
      </c>
      <c r="C13" s="54">
        <f>+C4</f>
        <v>200</v>
      </c>
      <c r="D13" s="52" t="s">
        <v>59</v>
      </c>
      <c r="E13" s="55">
        <f>+C5</f>
        <v>180</v>
      </c>
      <c r="F13" s="49"/>
      <c r="G13" s="56">
        <f>3.45*8000</f>
        <v>27600</v>
      </c>
      <c r="H13" s="50" t="s">
        <v>57</v>
      </c>
      <c r="I13" s="60">
        <f>(C13-E13)*G13</f>
        <v>552000</v>
      </c>
      <c r="J13" s="49" t="s">
        <v>41</v>
      </c>
      <c r="K13" s="49"/>
    </row>
    <row r="14" spans="1:11" x14ac:dyDescent="0.25">
      <c r="A14" s="49"/>
      <c r="B14" s="49"/>
      <c r="C14" s="51"/>
      <c r="D14" s="49"/>
      <c r="E14" s="53"/>
      <c r="F14" s="49"/>
      <c r="G14" s="49" t="s">
        <v>505</v>
      </c>
      <c r="H14" s="49"/>
      <c r="I14" s="49"/>
      <c r="J14" s="49"/>
      <c r="K14" s="49"/>
    </row>
    <row r="16" spans="1:11" x14ac:dyDescent="0.25">
      <c r="A16" s="49" t="s">
        <v>506</v>
      </c>
      <c r="B16" s="50" t="s">
        <v>57</v>
      </c>
      <c r="C16" s="51" t="s">
        <v>72</v>
      </c>
      <c r="D16" s="52" t="s">
        <v>59</v>
      </c>
      <c r="E16" s="53" t="s">
        <v>60</v>
      </c>
      <c r="F16" s="50" t="s">
        <v>61</v>
      </c>
      <c r="G16" s="49" t="s">
        <v>66</v>
      </c>
      <c r="H16" s="49"/>
      <c r="I16" s="49"/>
      <c r="J16" s="49"/>
    </row>
    <row r="17" spans="1:11" x14ac:dyDescent="0.25">
      <c r="A17" s="49"/>
      <c r="B17" s="50" t="s">
        <v>57</v>
      </c>
      <c r="C17" s="54">
        <f>+C5</f>
        <v>180</v>
      </c>
      <c r="D17" s="52" t="s">
        <v>59</v>
      </c>
      <c r="E17" s="55">
        <f>+C6</f>
        <v>180</v>
      </c>
      <c r="F17" s="50" t="s">
        <v>61</v>
      </c>
      <c r="G17" s="56">
        <v>26400</v>
      </c>
      <c r="H17" s="50" t="s">
        <v>57</v>
      </c>
      <c r="I17" s="60">
        <f>(C17-E17)*G17</f>
        <v>0</v>
      </c>
      <c r="J17" s="49"/>
    </row>
    <row r="18" spans="1:11" x14ac:dyDescent="0.25">
      <c r="A18" s="49"/>
      <c r="B18" s="49"/>
      <c r="C18" s="51"/>
      <c r="D18" s="49"/>
      <c r="E18" s="53"/>
      <c r="F18" s="49"/>
      <c r="G18" s="49"/>
      <c r="H18" s="49"/>
      <c r="I18" s="49"/>
      <c r="J18" s="49"/>
    </row>
    <row r="19" spans="1:11" x14ac:dyDescent="0.25">
      <c r="A19" s="49" t="s">
        <v>507</v>
      </c>
      <c r="B19" s="50" t="s">
        <v>57</v>
      </c>
      <c r="C19" s="51" t="s">
        <v>508</v>
      </c>
      <c r="D19" s="52" t="s">
        <v>59</v>
      </c>
      <c r="E19" s="53" t="s">
        <v>75</v>
      </c>
      <c r="F19" s="50" t="s">
        <v>61</v>
      </c>
      <c r="G19" s="51" t="s">
        <v>67</v>
      </c>
      <c r="H19" s="49"/>
      <c r="I19" s="49"/>
      <c r="J19" s="49"/>
    </row>
    <row r="20" spans="1:11" x14ac:dyDescent="0.25">
      <c r="A20" s="49"/>
      <c r="B20" s="50" t="s">
        <v>57</v>
      </c>
      <c r="C20" s="54">
        <f>3*8000</f>
        <v>24000</v>
      </c>
      <c r="D20" s="52" t="s">
        <v>59</v>
      </c>
      <c r="E20" s="55">
        <f>3.45*8000</f>
        <v>27600</v>
      </c>
      <c r="F20" s="49"/>
      <c r="G20" s="56">
        <v>200</v>
      </c>
      <c r="H20" s="50" t="s">
        <v>57</v>
      </c>
      <c r="I20" s="60">
        <f>(E20-C20)*G20</f>
        <v>720000</v>
      </c>
      <c r="J20" s="49" t="s">
        <v>39</v>
      </c>
    </row>
    <row r="21" spans="1:11" x14ac:dyDescent="0.25">
      <c r="A21" s="49"/>
      <c r="B21" s="49"/>
      <c r="C21" s="51" t="s">
        <v>509</v>
      </c>
      <c r="D21" s="49"/>
      <c r="E21" s="53" t="s">
        <v>505</v>
      </c>
      <c r="F21" s="49"/>
      <c r="G21" s="49"/>
      <c r="H21" s="49"/>
      <c r="I21" s="49"/>
      <c r="J21" s="49"/>
    </row>
    <row r="23" spans="1:11" x14ac:dyDescent="0.25">
      <c r="A23" s="49" t="s">
        <v>510</v>
      </c>
      <c r="B23" s="50" t="s">
        <v>57</v>
      </c>
      <c r="C23" s="53" t="s">
        <v>75</v>
      </c>
      <c r="D23" s="52" t="s">
        <v>59</v>
      </c>
      <c r="E23" s="53" t="s">
        <v>66</v>
      </c>
      <c r="F23" s="50" t="s">
        <v>61</v>
      </c>
      <c r="G23" s="51" t="s">
        <v>72</v>
      </c>
      <c r="H23" s="49"/>
      <c r="I23" s="49"/>
      <c r="J23" s="49"/>
    </row>
    <row r="24" spans="1:11" x14ac:dyDescent="0.25">
      <c r="A24" s="49"/>
      <c r="B24" s="50" t="s">
        <v>57</v>
      </c>
      <c r="C24" s="55">
        <f>3.45*8000</f>
        <v>27600</v>
      </c>
      <c r="D24" s="52" t="s">
        <v>59</v>
      </c>
      <c r="E24" s="55">
        <v>26400</v>
      </c>
      <c r="F24" s="49"/>
      <c r="G24" s="56">
        <v>180</v>
      </c>
      <c r="H24" s="50" t="s">
        <v>57</v>
      </c>
      <c r="I24" s="60">
        <f>(C24-E24)*G24</f>
        <v>216000</v>
      </c>
      <c r="J24" s="49" t="s">
        <v>41</v>
      </c>
      <c r="K24" s="11">
        <f>C24-E24</f>
        <v>1200</v>
      </c>
    </row>
    <row r="25" spans="1:11" x14ac:dyDescent="0.25">
      <c r="A25" s="49"/>
      <c r="B25" s="49"/>
      <c r="C25" s="53" t="s">
        <v>505</v>
      </c>
      <c r="D25" s="49"/>
      <c r="E25" s="53"/>
      <c r="F25" s="49"/>
      <c r="G25" s="49"/>
      <c r="H25" s="49"/>
      <c r="I25" s="49"/>
      <c r="J25" s="49"/>
    </row>
    <row r="29" spans="1:11" x14ac:dyDescent="0.25">
      <c r="A29" s="9" t="s">
        <v>221</v>
      </c>
      <c r="D29" s="9"/>
      <c r="E29" s="9"/>
      <c r="F29" s="9"/>
    </row>
    <row r="30" spans="1:11" ht="30" x14ac:dyDescent="0.25">
      <c r="A30" s="97" t="s">
        <v>25</v>
      </c>
      <c r="B30" s="98" t="s">
        <v>222</v>
      </c>
      <c r="C30" s="98" t="s">
        <v>223</v>
      </c>
      <c r="D30" s="99" t="s">
        <v>224</v>
      </c>
      <c r="E30" s="100" t="s">
        <v>189</v>
      </c>
      <c r="F30" s="97" t="s">
        <v>225</v>
      </c>
    </row>
    <row r="31" spans="1:11" x14ac:dyDescent="0.25">
      <c r="A31" t="s">
        <v>511</v>
      </c>
      <c r="B31" s="91">
        <v>71500</v>
      </c>
      <c r="C31" s="91">
        <f>81000*0.9</f>
        <v>72900</v>
      </c>
      <c r="D31" s="95" t="s">
        <v>487</v>
      </c>
      <c r="E31" s="91">
        <v>175</v>
      </c>
      <c r="F31" s="91">
        <f>1400*175</f>
        <v>245000</v>
      </c>
      <c r="G31" s="91" t="s">
        <v>41</v>
      </c>
    </row>
    <row r="32" spans="1:11" x14ac:dyDescent="0.25">
      <c r="B32" s="91"/>
      <c r="C32" s="93" t="s">
        <v>514</v>
      </c>
      <c r="D32" s="69"/>
      <c r="E32" s="91"/>
      <c r="F32" s="69"/>
      <c r="G32" s="91"/>
    </row>
    <row r="33" spans="1:7" x14ac:dyDescent="0.25">
      <c r="A33" t="s">
        <v>512</v>
      </c>
      <c r="B33" s="91">
        <v>3200</v>
      </c>
      <c r="C33" s="94">
        <f>81000*0.3/10</f>
        <v>2430</v>
      </c>
      <c r="D33" s="95" t="s">
        <v>517</v>
      </c>
      <c r="E33" s="91">
        <v>4000</v>
      </c>
      <c r="F33" s="91">
        <f>770*4000</f>
        <v>3080000</v>
      </c>
      <c r="G33" s="91" t="s">
        <v>39</v>
      </c>
    </row>
    <row r="34" spans="1:7" x14ac:dyDescent="0.25">
      <c r="B34" s="69"/>
      <c r="C34" s="96" t="s">
        <v>515</v>
      </c>
      <c r="D34" s="69"/>
      <c r="E34" s="91"/>
      <c r="F34" s="69"/>
      <c r="G34" s="91"/>
    </row>
    <row r="35" spans="1:7" x14ac:dyDescent="0.25">
      <c r="A35" t="s">
        <v>513</v>
      </c>
      <c r="B35" s="91">
        <v>6300</v>
      </c>
      <c r="C35" s="94">
        <f>81000*0.7/10</f>
        <v>5670</v>
      </c>
      <c r="D35" s="95" t="s">
        <v>518</v>
      </c>
      <c r="E35" s="91">
        <v>950</v>
      </c>
      <c r="F35" s="91">
        <f>630*950</f>
        <v>598500</v>
      </c>
      <c r="G35" s="91" t="s">
        <v>39</v>
      </c>
    </row>
    <row r="36" spans="1:7" x14ac:dyDescent="0.25">
      <c r="B36" s="69"/>
      <c r="C36" s="96" t="s">
        <v>516</v>
      </c>
      <c r="D36" s="69"/>
      <c r="E36" s="69"/>
      <c r="F36" s="69"/>
      <c r="G36" s="91"/>
    </row>
    <row r="37" spans="1:7" ht="15.75" thickBot="1" x14ac:dyDescent="0.3">
      <c r="B37" s="70">
        <f>SUM(B31:B36)</f>
        <v>81000</v>
      </c>
      <c r="C37" s="70">
        <f>B37</f>
        <v>81000</v>
      </c>
      <c r="D37" s="25">
        <v>0</v>
      </c>
      <c r="F37" s="21">
        <f>F35+F33-F31</f>
        <v>3433500</v>
      </c>
      <c r="G37" s="14" t="s">
        <v>39</v>
      </c>
    </row>
    <row r="38" spans="1:7" ht="15.75" thickTop="1" x14ac:dyDescent="0.25">
      <c r="G38" s="8"/>
    </row>
    <row r="39" spans="1:7" x14ac:dyDescent="0.25">
      <c r="G39" s="8"/>
    </row>
    <row r="41" spans="1:7" x14ac:dyDescent="0.25">
      <c r="A41" s="9" t="s">
        <v>230</v>
      </c>
      <c r="D41" s="9"/>
      <c r="E41" s="9"/>
      <c r="F41" s="9"/>
    </row>
    <row r="42" spans="1:7" ht="30" x14ac:dyDescent="0.25">
      <c r="A42" s="97" t="s">
        <v>25</v>
      </c>
      <c r="B42" s="98" t="s">
        <v>231</v>
      </c>
      <c r="C42" s="98" t="s">
        <v>223</v>
      </c>
      <c r="D42" s="99" t="s">
        <v>224</v>
      </c>
      <c r="E42" s="100" t="s">
        <v>189</v>
      </c>
      <c r="F42" s="97" t="s">
        <v>225</v>
      </c>
    </row>
    <row r="43" spans="1:7" x14ac:dyDescent="0.25">
      <c r="A43" t="s">
        <v>511</v>
      </c>
      <c r="B43" s="94">
        <f>8000*9</f>
        <v>72000</v>
      </c>
      <c r="C43" s="91">
        <f>81000*0.9</f>
        <v>72900</v>
      </c>
      <c r="D43" s="94" t="s">
        <v>522</v>
      </c>
      <c r="E43" s="91">
        <v>175</v>
      </c>
      <c r="F43" s="91">
        <f>900*175</f>
        <v>157500</v>
      </c>
      <c r="G43" s="91" t="s">
        <v>39</v>
      </c>
    </row>
    <row r="44" spans="1:7" x14ac:dyDescent="0.25">
      <c r="B44" s="101" t="s">
        <v>519</v>
      </c>
      <c r="C44" s="93" t="s">
        <v>514</v>
      </c>
      <c r="D44" s="91"/>
      <c r="E44" s="91"/>
      <c r="F44" s="69"/>
      <c r="G44" s="91"/>
    </row>
    <row r="45" spans="1:7" x14ac:dyDescent="0.25">
      <c r="A45" t="s">
        <v>512</v>
      </c>
      <c r="B45" s="94">
        <f>8000*0.3</f>
        <v>2400</v>
      </c>
      <c r="C45" s="94">
        <f>81000*0.3/10</f>
        <v>2430</v>
      </c>
      <c r="D45" s="94" t="s">
        <v>234</v>
      </c>
      <c r="E45" s="91">
        <v>4000</v>
      </c>
      <c r="F45" s="91">
        <f>30*4000</f>
        <v>120000</v>
      </c>
      <c r="G45" s="91" t="s">
        <v>39</v>
      </c>
    </row>
    <row r="46" spans="1:7" x14ac:dyDescent="0.25">
      <c r="B46" s="101" t="s">
        <v>520</v>
      </c>
      <c r="C46" s="96" t="s">
        <v>515</v>
      </c>
      <c r="D46" s="94"/>
      <c r="E46" s="91"/>
      <c r="F46" s="91"/>
      <c r="G46" s="91"/>
    </row>
    <row r="47" spans="1:7" x14ac:dyDescent="0.25">
      <c r="A47" t="s">
        <v>513</v>
      </c>
      <c r="B47" s="94">
        <f>8000*0.7</f>
        <v>5600</v>
      </c>
      <c r="C47" s="94">
        <f>81000*0.7/10</f>
        <v>5670</v>
      </c>
      <c r="D47" s="94" t="s">
        <v>334</v>
      </c>
      <c r="E47" s="91">
        <v>950</v>
      </c>
      <c r="F47" s="91">
        <f>70*950</f>
        <v>66500</v>
      </c>
      <c r="G47" s="91" t="s">
        <v>39</v>
      </c>
    </row>
    <row r="48" spans="1:7" x14ac:dyDescent="0.25">
      <c r="B48" s="101" t="s">
        <v>521</v>
      </c>
      <c r="C48" s="96" t="s">
        <v>516</v>
      </c>
      <c r="D48" s="69"/>
      <c r="E48" s="69"/>
      <c r="F48" s="69"/>
      <c r="G48" s="91"/>
    </row>
    <row r="49" spans="2:7" ht="15.75" thickBot="1" x14ac:dyDescent="0.3">
      <c r="B49" s="70">
        <f>SUM(B43:B48)</f>
        <v>80000</v>
      </c>
      <c r="C49" s="70">
        <f>+C43+C45+C47</f>
        <v>81000</v>
      </c>
      <c r="D49" s="79" t="s">
        <v>523</v>
      </c>
      <c r="F49" s="21">
        <f>SUM(F43:F48)</f>
        <v>344000</v>
      </c>
      <c r="G49" s="14" t="s">
        <v>39</v>
      </c>
    </row>
    <row r="50" spans="2:7" ht="15.75" thickTop="1" x14ac:dyDescent="0.25"/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7"/>
  <sheetViews>
    <sheetView workbookViewId="0">
      <selection activeCell="F20" sqref="F20"/>
    </sheetView>
  </sheetViews>
  <sheetFormatPr defaultRowHeight="15" x14ac:dyDescent="0.25"/>
  <cols>
    <col min="1" max="1" width="17.85546875" bestFit="1" customWidth="1"/>
    <col min="2" max="2" width="10.5703125" bestFit="1" customWidth="1"/>
    <col min="3" max="3" width="13.85546875" customWidth="1"/>
    <col min="5" max="5" width="13.140625" customWidth="1"/>
    <col min="6" max="6" width="11.7109375" bestFit="1" customWidth="1"/>
    <col min="7" max="7" width="13.85546875" customWidth="1"/>
    <col min="9" max="9" width="12.28515625" bestFit="1" customWidth="1"/>
    <col min="10" max="10" width="9.28515625" bestFit="1" customWidth="1"/>
    <col min="11" max="11" width="10.28515625" bestFit="1" customWidth="1"/>
    <col min="12" max="12" width="9.28515625" bestFit="1" customWidth="1"/>
    <col min="13" max="13" width="9.5703125" bestFit="1" customWidth="1"/>
  </cols>
  <sheetData>
    <row r="2" spans="1:13" x14ac:dyDescent="0.25">
      <c r="A2" s="9" t="s">
        <v>524</v>
      </c>
    </row>
    <row r="3" spans="1:13" ht="30" x14ac:dyDescent="0.25">
      <c r="B3" s="131" t="s">
        <v>527</v>
      </c>
      <c r="C3" s="131" t="s">
        <v>528</v>
      </c>
      <c r="D3" s="131"/>
      <c r="E3" s="144" t="s">
        <v>532</v>
      </c>
    </row>
    <row r="4" spans="1:13" x14ac:dyDescent="0.25">
      <c r="A4" t="s">
        <v>39</v>
      </c>
      <c r="B4" s="8">
        <v>220</v>
      </c>
      <c r="C4" s="8">
        <v>144</v>
      </c>
      <c r="D4" t="s">
        <v>529</v>
      </c>
      <c r="E4" s="11">
        <f>+B4-C4</f>
        <v>76</v>
      </c>
    </row>
    <row r="5" spans="1:13" x14ac:dyDescent="0.25">
      <c r="A5" t="s">
        <v>525</v>
      </c>
      <c r="B5" s="8">
        <v>32</v>
      </c>
      <c r="C5" s="8">
        <f>16+6+0.6</f>
        <v>22.6</v>
      </c>
      <c r="D5" t="s">
        <v>530</v>
      </c>
      <c r="E5" s="11">
        <f t="shared" ref="E5:E6" si="0">+B5-C5</f>
        <v>9.3999999999999986</v>
      </c>
    </row>
    <row r="6" spans="1:13" x14ac:dyDescent="0.25">
      <c r="A6" t="s">
        <v>526</v>
      </c>
      <c r="B6" s="8">
        <v>280</v>
      </c>
      <c r="C6" s="8">
        <f>120+60+6</f>
        <v>186</v>
      </c>
      <c r="D6" t="s">
        <v>531</v>
      </c>
      <c r="E6" s="11">
        <f t="shared" si="0"/>
        <v>94</v>
      </c>
    </row>
    <row r="9" spans="1:13" x14ac:dyDescent="0.25">
      <c r="A9" s="9" t="s">
        <v>326</v>
      </c>
      <c r="D9" s="9"/>
      <c r="E9" s="9"/>
      <c r="F9" s="9"/>
    </row>
    <row r="10" spans="1:13" ht="30" x14ac:dyDescent="0.25">
      <c r="A10" s="97" t="s">
        <v>327</v>
      </c>
      <c r="B10" s="98" t="s">
        <v>328</v>
      </c>
      <c r="C10" s="98" t="s">
        <v>329</v>
      </c>
      <c r="D10" s="99" t="s">
        <v>224</v>
      </c>
      <c r="E10" s="143" t="s">
        <v>490</v>
      </c>
      <c r="F10" s="97" t="s">
        <v>225</v>
      </c>
    </row>
    <row r="11" spans="1:13" x14ac:dyDescent="0.25">
      <c r="A11" s="49" t="s">
        <v>39</v>
      </c>
      <c r="B11" s="91">
        <v>720</v>
      </c>
      <c r="C11" s="91">
        <f>4600*0.2</f>
        <v>920</v>
      </c>
      <c r="D11" s="94" t="s">
        <v>536</v>
      </c>
      <c r="E11" s="91">
        <v>76</v>
      </c>
      <c r="F11" s="91">
        <f>200*76</f>
        <v>15200</v>
      </c>
      <c r="G11" s="91" t="s">
        <v>39</v>
      </c>
      <c r="J11" s="8">
        <v>800</v>
      </c>
      <c r="K11" s="8">
        <v>2600</v>
      </c>
      <c r="L11" s="8">
        <v>600</v>
      </c>
      <c r="M11" s="8">
        <f>SUM(J11:L11)</f>
        <v>4000</v>
      </c>
    </row>
    <row r="12" spans="1:13" x14ac:dyDescent="0.25">
      <c r="A12" s="49"/>
      <c r="B12" s="91"/>
      <c r="C12" s="93" t="s">
        <v>533</v>
      </c>
      <c r="D12" s="91"/>
      <c r="E12" s="91"/>
      <c r="F12" s="69"/>
      <c r="G12" s="91"/>
      <c r="J12" s="8">
        <v>8</v>
      </c>
      <c r="K12" s="8">
        <v>26</v>
      </c>
      <c r="L12" s="8">
        <v>6</v>
      </c>
      <c r="M12" s="8">
        <f>SUM(J12:L12)</f>
        <v>40</v>
      </c>
    </row>
    <row r="13" spans="1:13" x14ac:dyDescent="0.25">
      <c r="A13" s="29" t="s">
        <v>525</v>
      </c>
      <c r="B13" s="91">
        <v>3100</v>
      </c>
      <c r="C13" s="94">
        <f>4600*0.65</f>
        <v>2990</v>
      </c>
      <c r="D13" s="94" t="s">
        <v>537</v>
      </c>
      <c r="E13" s="91">
        <v>9.4</v>
      </c>
      <c r="F13" s="91">
        <f>110*9.4</f>
        <v>1034</v>
      </c>
      <c r="G13" s="91" t="s">
        <v>41</v>
      </c>
      <c r="J13" s="8">
        <v>4</v>
      </c>
      <c r="K13" s="8">
        <v>13</v>
      </c>
      <c r="L13" s="8">
        <v>3</v>
      </c>
      <c r="M13" s="8">
        <f>SUM(J13:L13)</f>
        <v>20</v>
      </c>
    </row>
    <row r="14" spans="1:13" x14ac:dyDescent="0.25">
      <c r="A14" s="29"/>
      <c r="B14" s="91"/>
      <c r="C14" s="101" t="s">
        <v>534</v>
      </c>
      <c r="D14" s="94"/>
      <c r="E14" s="91"/>
      <c r="F14" s="91"/>
      <c r="G14" s="91"/>
    </row>
    <row r="15" spans="1:13" x14ac:dyDescent="0.25">
      <c r="A15" s="29" t="s">
        <v>526</v>
      </c>
      <c r="B15" s="91">
        <v>780</v>
      </c>
      <c r="C15" s="94">
        <f>4600*0.15</f>
        <v>690</v>
      </c>
      <c r="D15" s="94" t="s">
        <v>229</v>
      </c>
      <c r="E15" s="91">
        <v>94</v>
      </c>
      <c r="F15" s="91">
        <f>90*94</f>
        <v>8460</v>
      </c>
      <c r="G15" s="91" t="s">
        <v>41</v>
      </c>
      <c r="H15" s="11"/>
    </row>
    <row r="16" spans="1:13" x14ac:dyDescent="0.25">
      <c r="B16" s="69"/>
      <c r="C16" s="96" t="s">
        <v>535</v>
      </c>
      <c r="D16" s="69"/>
      <c r="E16" s="69"/>
      <c r="F16" s="69"/>
      <c r="G16" s="91"/>
    </row>
    <row r="17" spans="1:10" ht="15.75" thickBot="1" x14ac:dyDescent="0.3">
      <c r="B17" s="70">
        <f>SUM(B11:B16)</f>
        <v>4600</v>
      </c>
      <c r="C17" s="70">
        <f>B17</f>
        <v>4600</v>
      </c>
      <c r="D17" s="25">
        <v>0</v>
      </c>
      <c r="F17" s="21">
        <f>F11-F13-F15</f>
        <v>5706</v>
      </c>
      <c r="G17" s="14" t="s">
        <v>39</v>
      </c>
    </row>
    <row r="18" spans="1:10" ht="15.75" thickTop="1" x14ac:dyDescent="0.25">
      <c r="G18" s="8"/>
    </row>
    <row r="19" spans="1:10" x14ac:dyDescent="0.25">
      <c r="G19" s="8"/>
    </row>
    <row r="21" spans="1:10" x14ac:dyDescent="0.25">
      <c r="A21" s="9" t="s">
        <v>335</v>
      </c>
      <c r="D21" s="9"/>
      <c r="E21" s="9"/>
      <c r="F21" s="9"/>
    </row>
    <row r="22" spans="1:10" ht="30" x14ac:dyDescent="0.25">
      <c r="A22" s="97" t="s">
        <v>327</v>
      </c>
      <c r="B22" s="98" t="s">
        <v>336</v>
      </c>
      <c r="C22" s="98" t="s">
        <v>329</v>
      </c>
      <c r="D22" s="99" t="s">
        <v>224</v>
      </c>
      <c r="E22" s="143" t="s">
        <v>490</v>
      </c>
      <c r="F22" s="97" t="s">
        <v>225</v>
      </c>
    </row>
    <row r="23" spans="1:10" x14ac:dyDescent="0.25">
      <c r="A23" s="49" t="s">
        <v>39</v>
      </c>
      <c r="B23" s="94">
        <v>800</v>
      </c>
      <c r="C23" s="91">
        <f>4600*0.2</f>
        <v>920</v>
      </c>
      <c r="D23" s="94" t="s">
        <v>538</v>
      </c>
      <c r="E23" s="91">
        <v>76</v>
      </c>
      <c r="F23" s="91">
        <f>120*76</f>
        <v>9120</v>
      </c>
      <c r="G23" s="91" t="s">
        <v>41</v>
      </c>
    </row>
    <row r="24" spans="1:10" x14ac:dyDescent="0.25">
      <c r="A24" s="49"/>
      <c r="B24" s="101"/>
      <c r="C24" s="93" t="s">
        <v>533</v>
      </c>
      <c r="D24" s="91"/>
      <c r="E24" s="91"/>
      <c r="F24" s="69"/>
      <c r="G24" s="91"/>
    </row>
    <row r="25" spans="1:10" x14ac:dyDescent="0.25">
      <c r="A25" s="29" t="s">
        <v>525</v>
      </c>
      <c r="B25" s="94">
        <v>2600</v>
      </c>
      <c r="C25" s="94">
        <f>4600*0.65</f>
        <v>2990</v>
      </c>
      <c r="D25" s="94" t="s">
        <v>539</v>
      </c>
      <c r="E25" s="91">
        <v>9.4</v>
      </c>
      <c r="F25" s="91">
        <f>390*9.4</f>
        <v>3666</v>
      </c>
      <c r="G25" s="91" t="s">
        <v>41</v>
      </c>
    </row>
    <row r="26" spans="1:10" x14ac:dyDescent="0.25">
      <c r="A26" s="29"/>
      <c r="B26" s="94"/>
      <c r="C26" s="101" t="s">
        <v>534</v>
      </c>
      <c r="D26" s="94"/>
      <c r="E26" s="91"/>
      <c r="F26" s="91"/>
      <c r="G26" s="91"/>
    </row>
    <row r="27" spans="1:10" x14ac:dyDescent="0.25">
      <c r="A27" s="29" t="s">
        <v>526</v>
      </c>
      <c r="B27" s="94">
        <v>600</v>
      </c>
      <c r="C27" s="94">
        <f>4600*0.15</f>
        <v>690</v>
      </c>
      <c r="D27" s="94" t="s">
        <v>229</v>
      </c>
      <c r="E27" s="91">
        <v>94</v>
      </c>
      <c r="F27" s="91">
        <f>90*94</f>
        <v>8460</v>
      </c>
      <c r="G27" s="91" t="s">
        <v>41</v>
      </c>
    </row>
    <row r="28" spans="1:10" x14ac:dyDescent="0.25">
      <c r="B28" s="102"/>
      <c r="C28" s="96" t="s">
        <v>535</v>
      </c>
      <c r="D28" s="69"/>
      <c r="E28" s="69"/>
      <c r="F28" s="69"/>
      <c r="G28" s="91"/>
    </row>
    <row r="29" spans="1:10" ht="15.75" thickBot="1" x14ac:dyDescent="0.3">
      <c r="B29" s="70">
        <f>SUM(B23:B28)</f>
        <v>4000</v>
      </c>
      <c r="C29" s="70">
        <f>+C23+C25+C27</f>
        <v>4600</v>
      </c>
      <c r="D29" s="79" t="s">
        <v>540</v>
      </c>
      <c r="F29" s="21">
        <f>SUM(F23:F28)</f>
        <v>21246</v>
      </c>
      <c r="G29" s="14" t="s">
        <v>41</v>
      </c>
      <c r="I29" s="11">
        <f>F29-F17</f>
        <v>15540</v>
      </c>
      <c r="J29" t="s">
        <v>41</v>
      </c>
    </row>
    <row r="30" spans="1:10" ht="15.75" thickTop="1" x14ac:dyDescent="0.25"/>
    <row r="34" spans="1:11" x14ac:dyDescent="0.25">
      <c r="A34" s="49" t="s">
        <v>56</v>
      </c>
      <c r="B34" s="50" t="s">
        <v>57</v>
      </c>
      <c r="C34" s="51" t="s">
        <v>153</v>
      </c>
      <c r="D34" s="52" t="s">
        <v>59</v>
      </c>
      <c r="E34" s="53" t="s">
        <v>60</v>
      </c>
      <c r="F34" s="50" t="s">
        <v>61</v>
      </c>
      <c r="G34" s="49" t="s">
        <v>62</v>
      </c>
      <c r="H34" s="49"/>
      <c r="I34" s="49"/>
      <c r="J34" s="49"/>
    </row>
    <row r="35" spans="1:11" x14ac:dyDescent="0.25">
      <c r="A35" s="49"/>
      <c r="B35" s="50" t="s">
        <v>57</v>
      </c>
      <c r="C35" s="54">
        <v>2</v>
      </c>
      <c r="D35" s="52" t="s">
        <v>59</v>
      </c>
      <c r="E35" s="145">
        <v>1.875</v>
      </c>
      <c r="F35" s="50" t="s">
        <v>61</v>
      </c>
      <c r="G35" s="56">
        <f>60/1.875*780</f>
        <v>24960</v>
      </c>
      <c r="H35" s="50" t="s">
        <v>57</v>
      </c>
      <c r="I35" s="60">
        <f>(C35-E35)*G35</f>
        <v>3120</v>
      </c>
      <c r="J35" s="49" t="s">
        <v>41</v>
      </c>
    </row>
    <row r="36" spans="1:11" x14ac:dyDescent="0.25">
      <c r="A36" s="49"/>
      <c r="B36" s="49"/>
      <c r="C36" s="51"/>
      <c r="D36" s="49"/>
      <c r="E36" s="53"/>
      <c r="F36" s="49"/>
      <c r="G36" s="49" t="s">
        <v>541</v>
      </c>
      <c r="H36" s="49"/>
      <c r="I36" s="49"/>
      <c r="J36" s="49"/>
    </row>
    <row r="37" spans="1:11" x14ac:dyDescent="0.25">
      <c r="A37" s="49"/>
      <c r="B37" s="49"/>
      <c r="C37" s="51"/>
      <c r="D37" s="49"/>
      <c r="E37" s="53"/>
      <c r="F37" s="49"/>
      <c r="G37" s="49"/>
      <c r="H37" s="49"/>
      <c r="I37" s="49"/>
      <c r="J37" s="49"/>
    </row>
    <row r="38" spans="1:11" x14ac:dyDescent="0.25">
      <c r="A38" s="49" t="s">
        <v>64</v>
      </c>
      <c r="B38" s="50" t="s">
        <v>57</v>
      </c>
      <c r="C38" s="51" t="s">
        <v>155</v>
      </c>
      <c r="D38" s="52" t="s">
        <v>59</v>
      </c>
      <c r="E38" s="53" t="s">
        <v>66</v>
      </c>
      <c r="F38" s="50" t="s">
        <v>61</v>
      </c>
      <c r="G38" s="49" t="s">
        <v>153</v>
      </c>
      <c r="H38" s="49"/>
      <c r="I38" s="49"/>
      <c r="J38" s="49"/>
    </row>
    <row r="39" spans="1:11" x14ac:dyDescent="0.25">
      <c r="A39" s="49"/>
      <c r="B39" s="50" t="s">
        <v>57</v>
      </c>
      <c r="C39" s="54">
        <f>30*780</f>
        <v>23400</v>
      </c>
      <c r="D39" s="52" t="s">
        <v>59</v>
      </c>
      <c r="E39" s="56">
        <f>60/1.875*780</f>
        <v>24960</v>
      </c>
      <c r="F39" s="50" t="s">
        <v>61</v>
      </c>
      <c r="G39" s="56">
        <v>2</v>
      </c>
      <c r="H39" s="50" t="s">
        <v>57</v>
      </c>
      <c r="I39" s="60">
        <f>(E39-C39)*G39</f>
        <v>3120</v>
      </c>
      <c r="J39" s="49" t="s">
        <v>39</v>
      </c>
      <c r="K39" s="11">
        <f>+E39-C39</f>
        <v>1560</v>
      </c>
    </row>
    <row r="40" spans="1:11" x14ac:dyDescent="0.25">
      <c r="A40" s="49"/>
      <c r="B40" s="49"/>
      <c r="C40" s="51" t="s">
        <v>542</v>
      </c>
      <c r="D40" s="49"/>
      <c r="E40" s="49" t="s">
        <v>541</v>
      </c>
      <c r="F40" s="49"/>
      <c r="G40" s="49"/>
      <c r="H40" s="49"/>
      <c r="I40" s="49"/>
      <c r="J40" s="49"/>
    </row>
    <row r="43" spans="1:11" x14ac:dyDescent="0.25">
      <c r="A43" t="s">
        <v>543</v>
      </c>
      <c r="B43" t="s">
        <v>544</v>
      </c>
    </row>
    <row r="44" spans="1:11" x14ac:dyDescent="0.25">
      <c r="A44" t="s">
        <v>545</v>
      </c>
      <c r="B44" t="s">
        <v>551</v>
      </c>
    </row>
    <row r="46" spans="1:11" x14ac:dyDescent="0.25">
      <c r="A46" t="s">
        <v>546</v>
      </c>
    </row>
    <row r="48" spans="1:11" x14ac:dyDescent="0.25">
      <c r="A48" t="s">
        <v>547</v>
      </c>
      <c r="G48" t="s">
        <v>548</v>
      </c>
    </row>
    <row r="49" spans="1:11" x14ac:dyDescent="0.25">
      <c r="A49" t="s">
        <v>549</v>
      </c>
    </row>
    <row r="50" spans="1:11" x14ac:dyDescent="0.25">
      <c r="A50" t="s">
        <v>550</v>
      </c>
      <c r="C50">
        <f>8*560^-0.152</f>
        <v>3.057492545744005</v>
      </c>
    </row>
    <row r="53" spans="1:11" x14ac:dyDescent="0.25">
      <c r="A53" s="49" t="s">
        <v>552</v>
      </c>
      <c r="B53" s="50" t="s">
        <v>57</v>
      </c>
      <c r="C53" s="51" t="s">
        <v>67</v>
      </c>
      <c r="D53" s="52" t="s">
        <v>59</v>
      </c>
      <c r="E53" s="53" t="s">
        <v>72</v>
      </c>
      <c r="F53" s="50" t="s">
        <v>61</v>
      </c>
      <c r="G53" s="49" t="s">
        <v>554</v>
      </c>
      <c r="H53" s="49"/>
      <c r="I53" s="49"/>
      <c r="J53" s="49"/>
    </row>
    <row r="54" spans="1:11" x14ac:dyDescent="0.25">
      <c r="A54" s="49"/>
      <c r="B54" s="50" t="s">
        <v>57</v>
      </c>
      <c r="C54" s="54">
        <v>300</v>
      </c>
      <c r="D54" s="52" t="s">
        <v>59</v>
      </c>
      <c r="E54" s="145">
        <v>300</v>
      </c>
      <c r="F54" s="50" t="s">
        <v>61</v>
      </c>
      <c r="G54" s="56">
        <f>560*C50</f>
        <v>1712.1958256166429</v>
      </c>
      <c r="H54" s="50" t="s">
        <v>57</v>
      </c>
      <c r="I54" s="60">
        <f>(C54-E54)*G54</f>
        <v>0</v>
      </c>
      <c r="J54" s="49"/>
    </row>
    <row r="55" spans="1:11" x14ac:dyDescent="0.25">
      <c r="A55" s="49"/>
      <c r="B55" s="49"/>
      <c r="C55" s="51"/>
      <c r="D55" s="49"/>
      <c r="E55" s="53"/>
      <c r="F55" s="49"/>
      <c r="G55" s="49" t="s">
        <v>555</v>
      </c>
      <c r="H55" s="49"/>
      <c r="I55" s="49"/>
      <c r="J55" s="49"/>
    </row>
    <row r="56" spans="1:11" x14ac:dyDescent="0.25">
      <c r="A56" s="49"/>
      <c r="B56" s="49"/>
      <c r="C56" s="51"/>
      <c r="D56" s="49"/>
      <c r="E56" s="53"/>
      <c r="F56" s="49"/>
      <c r="G56" s="49"/>
      <c r="H56" s="49"/>
      <c r="I56" s="49"/>
      <c r="J56" s="49"/>
    </row>
    <row r="57" spans="1:11" x14ac:dyDescent="0.25">
      <c r="A57" s="49" t="s">
        <v>553</v>
      </c>
      <c r="B57" s="50" t="s">
        <v>57</v>
      </c>
      <c r="C57" s="51" t="s">
        <v>508</v>
      </c>
      <c r="D57" s="52" t="s">
        <v>59</v>
      </c>
      <c r="E57" s="53" t="s">
        <v>75</v>
      </c>
      <c r="F57" s="50" t="s">
        <v>61</v>
      </c>
      <c r="G57" s="49" t="s">
        <v>556</v>
      </c>
      <c r="H57" s="49"/>
      <c r="I57" s="49"/>
      <c r="J57" s="49"/>
    </row>
    <row r="58" spans="1:11" x14ac:dyDescent="0.25">
      <c r="A58" s="49"/>
      <c r="B58" s="50" t="s">
        <v>57</v>
      </c>
      <c r="C58" s="54">
        <f>8*560</f>
        <v>4480</v>
      </c>
      <c r="D58" s="52" t="s">
        <v>59</v>
      </c>
      <c r="E58" s="56">
        <f>560*C50</f>
        <v>1712.1958256166429</v>
      </c>
      <c r="F58" s="50" t="s">
        <v>61</v>
      </c>
      <c r="G58" s="56">
        <f>+C54</f>
        <v>300</v>
      </c>
      <c r="H58" s="50"/>
      <c r="I58" s="60">
        <f>(C58-E58)*G58</f>
        <v>830341.25231500715</v>
      </c>
      <c r="J58" s="49" t="s">
        <v>41</v>
      </c>
      <c r="K58" s="11"/>
    </row>
    <row r="59" spans="1:11" x14ac:dyDescent="0.25">
      <c r="A59" s="49"/>
      <c r="B59" s="49"/>
      <c r="C59" s="51" t="s">
        <v>557</v>
      </c>
      <c r="D59" s="49"/>
      <c r="E59" s="49" t="s">
        <v>555</v>
      </c>
      <c r="F59" s="49"/>
      <c r="G59" s="49"/>
      <c r="H59" s="49"/>
      <c r="I59" s="49"/>
      <c r="J59" s="49"/>
    </row>
    <row r="61" spans="1:11" x14ac:dyDescent="0.25">
      <c r="A61" s="49" t="s">
        <v>506</v>
      </c>
      <c r="B61" s="50" t="s">
        <v>57</v>
      </c>
      <c r="C61" s="51" t="s">
        <v>72</v>
      </c>
      <c r="D61" s="52" t="s">
        <v>59</v>
      </c>
      <c r="E61" s="53" t="s">
        <v>60</v>
      </c>
      <c r="F61" s="50" t="s">
        <v>61</v>
      </c>
      <c r="G61" s="49" t="s">
        <v>558</v>
      </c>
      <c r="H61" s="49"/>
      <c r="I61" s="49"/>
      <c r="J61" s="49"/>
    </row>
    <row r="62" spans="1:11" x14ac:dyDescent="0.25">
      <c r="A62" s="49"/>
      <c r="B62" s="50" t="s">
        <v>57</v>
      </c>
      <c r="C62" s="54">
        <v>300</v>
      </c>
      <c r="D62" s="52" t="s">
        <v>59</v>
      </c>
      <c r="E62" s="145">
        <f>1155000/3500</f>
        <v>330</v>
      </c>
      <c r="F62" s="50" t="s">
        <v>61</v>
      </c>
      <c r="G62" s="56">
        <v>3500</v>
      </c>
      <c r="H62" s="50" t="s">
        <v>57</v>
      </c>
      <c r="I62" s="60">
        <f>(E62-C62)*G62</f>
        <v>105000</v>
      </c>
      <c r="J62" s="49" t="s">
        <v>39</v>
      </c>
    </row>
    <row r="63" spans="1:11" x14ac:dyDescent="0.25">
      <c r="A63" s="49"/>
      <c r="B63" s="49"/>
      <c r="C63" s="51"/>
      <c r="D63" s="49"/>
      <c r="E63" s="53" t="s">
        <v>559</v>
      </c>
      <c r="F63" s="49"/>
      <c r="G63" s="49"/>
      <c r="H63" s="49"/>
      <c r="I63" s="49"/>
      <c r="J63" s="49"/>
    </row>
    <row r="64" spans="1:11" x14ac:dyDescent="0.25">
      <c r="A64" s="49"/>
      <c r="B64" s="49"/>
      <c r="C64" s="51"/>
      <c r="D64" s="49"/>
      <c r="E64" s="53"/>
      <c r="F64" s="49"/>
      <c r="G64" s="49"/>
      <c r="H64" s="49"/>
      <c r="I64" s="49"/>
      <c r="J64" s="49"/>
    </row>
    <row r="65" spans="1:10" x14ac:dyDescent="0.25">
      <c r="A65" s="49" t="s">
        <v>510</v>
      </c>
      <c r="B65" s="50" t="s">
        <v>57</v>
      </c>
      <c r="C65" s="51" t="s">
        <v>75</v>
      </c>
      <c r="D65" s="52" t="s">
        <v>59</v>
      </c>
      <c r="E65" s="53" t="s">
        <v>560</v>
      </c>
      <c r="F65" s="50" t="s">
        <v>61</v>
      </c>
      <c r="G65" s="51" t="s">
        <v>72</v>
      </c>
      <c r="H65" s="49"/>
      <c r="I65" s="49"/>
      <c r="J65" s="49"/>
    </row>
    <row r="66" spans="1:10" x14ac:dyDescent="0.25">
      <c r="A66" s="49"/>
      <c r="B66" s="50" t="s">
        <v>57</v>
      </c>
      <c r="C66" s="56">
        <f>560*C50</f>
        <v>1712.1958256166429</v>
      </c>
      <c r="D66" s="52" t="s">
        <v>59</v>
      </c>
      <c r="E66" s="56">
        <v>3500</v>
      </c>
      <c r="F66" s="50" t="s">
        <v>61</v>
      </c>
      <c r="G66" s="56">
        <f>+C62</f>
        <v>300</v>
      </c>
      <c r="H66" s="50"/>
      <c r="I66" s="60">
        <f>(E66-C66)*G66</f>
        <v>536341.25231500715</v>
      </c>
      <c r="J66" s="49" t="s">
        <v>39</v>
      </c>
    </row>
    <row r="67" spans="1:10" x14ac:dyDescent="0.25">
      <c r="A67" s="49"/>
      <c r="B67" s="49"/>
      <c r="C67" s="49" t="s">
        <v>555</v>
      </c>
      <c r="D67" s="49"/>
      <c r="E67" s="49"/>
      <c r="F67" s="49"/>
      <c r="G67" s="49"/>
      <c r="H67" s="49"/>
      <c r="I67" s="49"/>
      <c r="J67" s="4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workbookViewId="0">
      <selection activeCell="A22" sqref="A22"/>
    </sheetView>
  </sheetViews>
  <sheetFormatPr defaultRowHeight="15" x14ac:dyDescent="0.25"/>
  <cols>
    <col min="1" max="1" width="48.140625" bestFit="1" customWidth="1"/>
    <col min="2" max="2" width="21" bestFit="1" customWidth="1"/>
    <col min="3" max="3" width="11.5703125" bestFit="1" customWidth="1"/>
  </cols>
  <sheetData>
    <row r="2" spans="1:4" x14ac:dyDescent="0.25">
      <c r="A2" s="9" t="s">
        <v>45</v>
      </c>
    </row>
    <row r="4" spans="1:4" x14ac:dyDescent="0.25">
      <c r="A4" t="s">
        <v>46</v>
      </c>
      <c r="B4" t="s">
        <v>47</v>
      </c>
      <c r="C4" s="8">
        <f>2*100*1000</f>
        <v>200000</v>
      </c>
    </row>
    <row r="5" spans="1:4" x14ac:dyDescent="0.25">
      <c r="A5" t="s">
        <v>48</v>
      </c>
      <c r="B5" t="s">
        <v>49</v>
      </c>
      <c r="C5" s="8">
        <f>2*150*1000</f>
        <v>300000</v>
      </c>
      <c r="D5" s="8"/>
    </row>
    <row r="6" spans="1:4" x14ac:dyDescent="0.25">
      <c r="A6" s="12" t="s">
        <v>2</v>
      </c>
      <c r="B6" s="12"/>
      <c r="C6" s="13">
        <f>C5-C4</f>
        <v>100000</v>
      </c>
      <c r="D6" s="14" t="s">
        <v>39</v>
      </c>
    </row>
    <row r="7" spans="1:4" x14ac:dyDescent="0.25">
      <c r="D7" s="8"/>
    </row>
    <row r="8" spans="1:4" x14ac:dyDescent="0.25">
      <c r="A8" t="s">
        <v>48</v>
      </c>
      <c r="B8" t="s">
        <v>49</v>
      </c>
      <c r="C8" s="8">
        <f>2*150*1000</f>
        <v>300000</v>
      </c>
      <c r="D8" s="8"/>
    </row>
    <row r="9" spans="1:4" x14ac:dyDescent="0.25">
      <c r="A9" t="s">
        <v>40</v>
      </c>
      <c r="C9" s="8">
        <v>325000</v>
      </c>
      <c r="D9" s="8"/>
    </row>
    <row r="10" spans="1:4" x14ac:dyDescent="0.25">
      <c r="A10" s="12" t="s">
        <v>42</v>
      </c>
      <c r="B10" s="12"/>
      <c r="C10" s="13">
        <f>C9-C8</f>
        <v>25000</v>
      </c>
      <c r="D10" s="14" t="s">
        <v>39</v>
      </c>
    </row>
    <row r="11" spans="1:4" x14ac:dyDescent="0.25">
      <c r="D11" s="8"/>
    </row>
    <row r="12" spans="1:4" x14ac:dyDescent="0.25">
      <c r="A12" t="s">
        <v>2</v>
      </c>
      <c r="C12" s="11">
        <f>+C6</f>
        <v>100000</v>
      </c>
      <c r="D12" s="8" t="str">
        <f>+D6</f>
        <v>A</v>
      </c>
    </row>
    <row r="13" spans="1:4" x14ac:dyDescent="0.25">
      <c r="A13" t="s">
        <v>42</v>
      </c>
      <c r="C13" s="11">
        <f>+C10</f>
        <v>25000</v>
      </c>
      <c r="D13" s="8" t="str">
        <f>+D10</f>
        <v>A</v>
      </c>
    </row>
    <row r="14" spans="1:4" x14ac:dyDescent="0.25">
      <c r="A14" s="12" t="s">
        <v>44</v>
      </c>
      <c r="B14" s="12"/>
      <c r="C14" s="13">
        <f>SUM(C12:C13)</f>
        <v>125000</v>
      </c>
      <c r="D14" s="14" t="s">
        <v>39</v>
      </c>
    </row>
    <row r="15" spans="1:4" x14ac:dyDescent="0.25">
      <c r="D15" s="8"/>
    </row>
    <row r="16" spans="1:4" x14ac:dyDescent="0.25">
      <c r="A16" t="s">
        <v>46</v>
      </c>
      <c r="B16" t="s">
        <v>47</v>
      </c>
      <c r="C16" s="11">
        <f>+C4</f>
        <v>200000</v>
      </c>
      <c r="D16" s="8"/>
    </row>
    <row r="17" spans="1:4" x14ac:dyDescent="0.25">
      <c r="A17" t="s">
        <v>40</v>
      </c>
      <c r="C17" s="8">
        <v>325000</v>
      </c>
      <c r="D17" s="8"/>
    </row>
    <row r="18" spans="1:4" x14ac:dyDescent="0.25">
      <c r="A18" s="12" t="s">
        <v>44</v>
      </c>
      <c r="B18" s="12"/>
      <c r="C18" s="13">
        <f>C17-C16</f>
        <v>125000</v>
      </c>
      <c r="D18" s="14" t="s">
        <v>39</v>
      </c>
    </row>
    <row r="19" spans="1:4" x14ac:dyDescent="0.25">
      <c r="D19" s="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9"/>
  <sheetViews>
    <sheetView workbookViewId="0">
      <selection activeCell="A23" sqref="A23"/>
    </sheetView>
  </sheetViews>
  <sheetFormatPr defaultRowHeight="15" x14ac:dyDescent="0.25"/>
  <cols>
    <col min="1" max="1" width="39.140625" customWidth="1"/>
    <col min="2" max="2" width="22.85546875" customWidth="1"/>
    <col min="3" max="3" width="13.28515625" bestFit="1" customWidth="1"/>
    <col min="4" max="4" width="3.7109375" style="1" bestFit="1" customWidth="1"/>
    <col min="5" max="5" width="20" customWidth="1"/>
    <col min="6" max="6" width="2" bestFit="1" customWidth="1"/>
    <col min="7" max="7" width="14.28515625" customWidth="1"/>
    <col min="9" max="9" width="12.28515625" customWidth="1"/>
  </cols>
  <sheetData>
    <row r="2" spans="1:8" x14ac:dyDescent="0.25">
      <c r="A2" s="9" t="s">
        <v>50</v>
      </c>
    </row>
    <row r="4" spans="1:8" x14ac:dyDescent="0.25">
      <c r="A4" t="s">
        <v>51</v>
      </c>
      <c r="B4" t="s">
        <v>52</v>
      </c>
      <c r="C4" s="8">
        <f>3*600*540</f>
        <v>972000</v>
      </c>
    </row>
    <row r="5" spans="1:8" x14ac:dyDescent="0.25">
      <c r="A5" t="s">
        <v>53</v>
      </c>
      <c r="B5" t="s">
        <v>54</v>
      </c>
      <c r="C5" s="8">
        <f>3*625*540</f>
        <v>1012500</v>
      </c>
    </row>
    <row r="6" spans="1:8" x14ac:dyDescent="0.25">
      <c r="A6" s="12" t="s">
        <v>2</v>
      </c>
      <c r="B6" s="12"/>
      <c r="C6" s="13">
        <f>C5-C4</f>
        <v>40500</v>
      </c>
      <c r="D6" s="16" t="s">
        <v>39</v>
      </c>
      <c r="E6" t="s">
        <v>69</v>
      </c>
      <c r="G6" s="11">
        <f>+I33</f>
        <v>40500</v>
      </c>
      <c r="H6" s="8" t="str">
        <f>+J33</f>
        <v>A</v>
      </c>
    </row>
    <row r="7" spans="1:8" x14ac:dyDescent="0.25">
      <c r="E7" t="s">
        <v>70</v>
      </c>
      <c r="G7" s="8">
        <v>0</v>
      </c>
      <c r="H7" s="8"/>
    </row>
    <row r="8" spans="1:8" ht="15.75" thickBot="1" x14ac:dyDescent="0.3">
      <c r="A8" t="s">
        <v>53</v>
      </c>
      <c r="B8" t="s">
        <v>54</v>
      </c>
      <c r="C8" s="8">
        <f>3*625*540</f>
        <v>1012500</v>
      </c>
      <c r="G8" s="21">
        <f>SUM(G6:G7)</f>
        <v>40500</v>
      </c>
      <c r="H8" s="14" t="s">
        <v>39</v>
      </c>
    </row>
    <row r="9" spans="1:8" ht="15.75" thickTop="1" x14ac:dyDescent="0.25">
      <c r="A9" t="s">
        <v>40</v>
      </c>
      <c r="C9" s="8">
        <v>1050000</v>
      </c>
      <c r="H9" s="8"/>
    </row>
    <row r="10" spans="1:8" x14ac:dyDescent="0.25">
      <c r="A10" s="12" t="s">
        <v>42</v>
      </c>
      <c r="B10" s="12"/>
      <c r="C10" s="13">
        <f>C9-C8</f>
        <v>37500</v>
      </c>
      <c r="D10" s="16" t="s">
        <v>39</v>
      </c>
      <c r="E10" t="s">
        <v>69</v>
      </c>
      <c r="G10" s="11">
        <f>+I42</f>
        <v>12500.000000000035</v>
      </c>
      <c r="H10" s="8" t="str">
        <f>+J42</f>
        <v>F</v>
      </c>
    </row>
    <row r="11" spans="1:8" x14ac:dyDescent="0.25">
      <c r="E11" t="s">
        <v>70</v>
      </c>
      <c r="G11" s="11">
        <f>+I46</f>
        <v>50000</v>
      </c>
      <c r="H11" s="8" t="str">
        <f>+J46</f>
        <v>A</v>
      </c>
    </row>
    <row r="12" spans="1:8" ht="15.75" thickBot="1" x14ac:dyDescent="0.3">
      <c r="A12" t="s">
        <v>2</v>
      </c>
      <c r="C12" s="11">
        <f>+C6</f>
        <v>40500</v>
      </c>
      <c r="D12" s="17" t="str">
        <f>+D6</f>
        <v>A</v>
      </c>
      <c r="G12" s="21">
        <f>G11-G10</f>
        <v>37499.999999999964</v>
      </c>
      <c r="H12" s="14" t="s">
        <v>39</v>
      </c>
    </row>
    <row r="13" spans="1:8" ht="15.75" thickTop="1" x14ac:dyDescent="0.25">
      <c r="A13" t="s">
        <v>42</v>
      </c>
      <c r="C13" s="11">
        <f>+C10</f>
        <v>37500</v>
      </c>
      <c r="D13" s="17" t="str">
        <f>+D10</f>
        <v>A</v>
      </c>
      <c r="H13" s="8"/>
    </row>
    <row r="14" spans="1:8" x14ac:dyDescent="0.25">
      <c r="A14" s="12" t="s">
        <v>44</v>
      </c>
      <c r="B14" s="12"/>
      <c r="C14" s="13">
        <f>SUM(C12:C13)</f>
        <v>78000</v>
      </c>
      <c r="D14" s="16" t="s">
        <v>39</v>
      </c>
      <c r="E14" t="s">
        <v>69</v>
      </c>
      <c r="G14" s="11">
        <f>+I23</f>
        <v>29999.999999999967</v>
      </c>
      <c r="H14" s="8" t="str">
        <f>+J23</f>
        <v>A</v>
      </c>
    </row>
    <row r="15" spans="1:8" x14ac:dyDescent="0.25">
      <c r="E15" t="s">
        <v>70</v>
      </c>
      <c r="G15" s="11">
        <f>+I27</f>
        <v>48000</v>
      </c>
      <c r="H15" s="8" t="str">
        <f>+J27</f>
        <v>A</v>
      </c>
    </row>
    <row r="16" spans="1:8" ht="15.75" thickBot="1" x14ac:dyDescent="0.3">
      <c r="A16" t="s">
        <v>51</v>
      </c>
      <c r="B16" t="s">
        <v>52</v>
      </c>
      <c r="C16" s="8">
        <f>3*600*540</f>
        <v>972000</v>
      </c>
      <c r="G16" s="21">
        <f>SUM(G14:G15)</f>
        <v>77999.999999999971</v>
      </c>
      <c r="H16" s="14" t="s">
        <v>39</v>
      </c>
    </row>
    <row r="17" spans="1:10" ht="15.75" thickTop="1" x14ac:dyDescent="0.25">
      <c r="A17" t="s">
        <v>40</v>
      </c>
      <c r="C17" s="8">
        <v>1050000</v>
      </c>
    </row>
    <row r="18" spans="1:10" x14ac:dyDescent="0.25">
      <c r="A18" s="12" t="s">
        <v>44</v>
      </c>
      <c r="B18" s="12"/>
      <c r="C18" s="13">
        <f>C17-C16</f>
        <v>78000</v>
      </c>
      <c r="D18" s="16" t="s">
        <v>39</v>
      </c>
    </row>
    <row r="20" spans="1:10" x14ac:dyDescent="0.25">
      <c r="A20" s="18" t="s">
        <v>55</v>
      </c>
    </row>
    <row r="22" spans="1:10" x14ac:dyDescent="0.25">
      <c r="A22" t="s">
        <v>56</v>
      </c>
      <c r="B22" s="19" t="s">
        <v>57</v>
      </c>
      <c r="C22" t="s">
        <v>58</v>
      </c>
      <c r="D22" s="20" t="s">
        <v>59</v>
      </c>
      <c r="E22" t="s">
        <v>60</v>
      </c>
      <c r="F22" s="19" t="s">
        <v>61</v>
      </c>
      <c r="G22" t="s">
        <v>62</v>
      </c>
    </row>
    <row r="23" spans="1:10" x14ac:dyDescent="0.25">
      <c r="B23" s="19" t="s">
        <v>57</v>
      </c>
      <c r="C23" s="8">
        <v>600</v>
      </c>
      <c r="D23" s="20" t="s">
        <v>59</v>
      </c>
      <c r="E23">
        <f>1050000/1700</f>
        <v>617.64705882352939</v>
      </c>
      <c r="F23" s="19" t="s">
        <v>61</v>
      </c>
      <c r="G23" s="8">
        <v>1700</v>
      </c>
      <c r="H23" s="19" t="s">
        <v>57</v>
      </c>
      <c r="I23" s="11">
        <f>(E23-C23)*G23</f>
        <v>29999.999999999967</v>
      </c>
      <c r="J23" s="8" t="s">
        <v>39</v>
      </c>
    </row>
    <row r="24" spans="1:10" x14ac:dyDescent="0.25">
      <c r="E24" s="2" t="s">
        <v>63</v>
      </c>
      <c r="J24" s="8"/>
    </row>
    <row r="25" spans="1:10" x14ac:dyDescent="0.25">
      <c r="J25" s="8"/>
    </row>
    <row r="26" spans="1:10" x14ac:dyDescent="0.25">
      <c r="A26" t="s">
        <v>64</v>
      </c>
      <c r="B26" s="19" t="s">
        <v>57</v>
      </c>
      <c r="C26" t="s">
        <v>65</v>
      </c>
      <c r="D26" s="20" t="s">
        <v>59</v>
      </c>
      <c r="E26" t="s">
        <v>66</v>
      </c>
      <c r="F26" s="19" t="s">
        <v>61</v>
      </c>
      <c r="G26" t="s">
        <v>67</v>
      </c>
      <c r="J26" s="8"/>
    </row>
    <row r="27" spans="1:10" x14ac:dyDescent="0.25">
      <c r="B27" s="19" t="s">
        <v>57</v>
      </c>
      <c r="C27" s="8">
        <f>3*540</f>
        <v>1620</v>
      </c>
      <c r="D27" s="20" t="s">
        <v>59</v>
      </c>
      <c r="E27" s="8">
        <v>1700</v>
      </c>
      <c r="F27" s="19" t="s">
        <v>61</v>
      </c>
      <c r="G27" s="8">
        <v>600</v>
      </c>
      <c r="H27" s="19" t="s">
        <v>57</v>
      </c>
      <c r="I27" s="11">
        <f>(E27-C27)*G27</f>
        <v>48000</v>
      </c>
      <c r="J27" s="8" t="s">
        <v>39</v>
      </c>
    </row>
    <row r="28" spans="1:10" ht="15.75" thickBot="1" x14ac:dyDescent="0.3">
      <c r="C28" s="2" t="s">
        <v>68</v>
      </c>
      <c r="I28" s="22">
        <f>SUM(I23:I27)</f>
        <v>77999.999999999971</v>
      </c>
      <c r="J28" s="23" t="s">
        <v>39</v>
      </c>
    </row>
    <row r="29" spans="1:10" ht="15.75" thickTop="1" x14ac:dyDescent="0.25"/>
    <row r="30" spans="1:10" x14ac:dyDescent="0.25">
      <c r="A30" s="18" t="s">
        <v>71</v>
      </c>
    </row>
    <row r="32" spans="1:10" x14ac:dyDescent="0.25">
      <c r="A32" t="s">
        <v>56</v>
      </c>
      <c r="B32" s="19" t="s">
        <v>57</v>
      </c>
      <c r="C32" t="s">
        <v>58</v>
      </c>
      <c r="D32" s="20" t="s">
        <v>59</v>
      </c>
      <c r="E32" t="s">
        <v>72</v>
      </c>
      <c r="F32" s="19" t="s">
        <v>61</v>
      </c>
      <c r="G32" t="s">
        <v>73</v>
      </c>
    </row>
    <row r="33" spans="1:10" x14ac:dyDescent="0.25">
      <c r="B33" s="19" t="s">
        <v>57</v>
      </c>
      <c r="C33" s="8">
        <v>600</v>
      </c>
      <c r="D33" s="20" t="s">
        <v>59</v>
      </c>
      <c r="E33" s="8">
        <v>625</v>
      </c>
      <c r="F33" s="19" t="s">
        <v>61</v>
      </c>
      <c r="G33" s="8">
        <f>3*540</f>
        <v>1620</v>
      </c>
      <c r="H33" s="19" t="s">
        <v>57</v>
      </c>
      <c r="I33" s="11">
        <f>(E33-C33)*G33</f>
        <v>40500</v>
      </c>
      <c r="J33" s="8" t="s">
        <v>39</v>
      </c>
    </row>
    <row r="34" spans="1:10" x14ac:dyDescent="0.25">
      <c r="G34" s="2" t="s">
        <v>74</v>
      </c>
      <c r="J34" s="8"/>
    </row>
    <row r="36" spans="1:10" x14ac:dyDescent="0.25">
      <c r="A36" t="s">
        <v>64</v>
      </c>
      <c r="B36" s="19" t="s">
        <v>57</v>
      </c>
      <c r="C36" t="s">
        <v>65</v>
      </c>
      <c r="D36" s="20" t="s">
        <v>59</v>
      </c>
      <c r="E36" t="s">
        <v>75</v>
      </c>
      <c r="F36" s="19" t="s">
        <v>61</v>
      </c>
      <c r="G36" t="s">
        <v>67</v>
      </c>
      <c r="J36" s="8"/>
    </row>
    <row r="37" spans="1:10" x14ac:dyDescent="0.25">
      <c r="B37" s="19" t="s">
        <v>57</v>
      </c>
      <c r="C37" s="8">
        <f>540*3</f>
        <v>1620</v>
      </c>
      <c r="D37" s="20" t="s">
        <v>59</v>
      </c>
      <c r="E37" s="8">
        <f>540*3</f>
        <v>1620</v>
      </c>
      <c r="F37" s="19" t="s">
        <v>61</v>
      </c>
      <c r="G37" s="8">
        <v>600</v>
      </c>
      <c r="H37" s="19" t="s">
        <v>57</v>
      </c>
      <c r="I37" s="11">
        <f>(E37-C37)*G37</f>
        <v>0</v>
      </c>
      <c r="J37" s="8"/>
    </row>
    <row r="38" spans="1:10" ht="15.75" thickBot="1" x14ac:dyDescent="0.3">
      <c r="C38" t="s">
        <v>76</v>
      </c>
      <c r="E38" t="s">
        <v>76</v>
      </c>
      <c r="I38" s="22">
        <f>SUM(I33:I37)</f>
        <v>40500</v>
      </c>
      <c r="J38" s="9" t="s">
        <v>39</v>
      </c>
    </row>
    <row r="39" spans="1:10" ht="15.75" thickTop="1" x14ac:dyDescent="0.25"/>
    <row r="40" spans="1:10" x14ac:dyDescent="0.25">
      <c r="A40" s="18" t="s">
        <v>77</v>
      </c>
    </row>
    <row r="41" spans="1:10" x14ac:dyDescent="0.25">
      <c r="A41" t="s">
        <v>56</v>
      </c>
      <c r="B41" s="19" t="s">
        <v>57</v>
      </c>
      <c r="C41" t="s">
        <v>78</v>
      </c>
      <c r="D41" s="20" t="s">
        <v>59</v>
      </c>
      <c r="E41" t="s">
        <v>60</v>
      </c>
      <c r="F41" s="19" t="s">
        <v>61</v>
      </c>
      <c r="G41" t="s">
        <v>79</v>
      </c>
    </row>
    <row r="42" spans="1:10" x14ac:dyDescent="0.25">
      <c r="B42" s="19" t="s">
        <v>57</v>
      </c>
      <c r="C42" s="8">
        <v>625</v>
      </c>
      <c r="D42" s="20" t="s">
        <v>59</v>
      </c>
      <c r="E42">
        <f>1050000/1700</f>
        <v>617.64705882352939</v>
      </c>
      <c r="F42" s="19" t="s">
        <v>61</v>
      </c>
      <c r="G42" s="8">
        <v>1700</v>
      </c>
      <c r="H42" s="19" t="s">
        <v>57</v>
      </c>
      <c r="I42" s="11">
        <f>(C42-E42)*G42</f>
        <v>12500.000000000035</v>
      </c>
      <c r="J42" s="8" t="s">
        <v>41</v>
      </c>
    </row>
    <row r="43" spans="1:10" x14ac:dyDescent="0.25">
      <c r="E43" s="2" t="s">
        <v>80</v>
      </c>
    </row>
    <row r="44" spans="1:10" x14ac:dyDescent="0.25">
      <c r="E44" s="2"/>
    </row>
    <row r="45" spans="1:10" x14ac:dyDescent="0.25">
      <c r="A45" t="s">
        <v>64</v>
      </c>
      <c r="B45" s="19" t="s">
        <v>57</v>
      </c>
      <c r="C45" t="s">
        <v>81</v>
      </c>
      <c r="D45" s="20" t="s">
        <v>59</v>
      </c>
      <c r="E45" t="s">
        <v>66</v>
      </c>
      <c r="F45" s="19" t="s">
        <v>61</v>
      </c>
      <c r="G45" t="s">
        <v>72</v>
      </c>
    </row>
    <row r="46" spans="1:10" x14ac:dyDescent="0.25">
      <c r="B46" s="19" t="s">
        <v>57</v>
      </c>
      <c r="C46" s="8">
        <v>1620</v>
      </c>
      <c r="D46" s="20" t="s">
        <v>59</v>
      </c>
      <c r="E46" s="8">
        <v>1700</v>
      </c>
      <c r="F46" s="19" t="s">
        <v>61</v>
      </c>
      <c r="G46" s="8">
        <v>625</v>
      </c>
      <c r="H46" s="19" t="s">
        <v>57</v>
      </c>
      <c r="I46" s="11">
        <f>(E46-C46)*G46</f>
        <v>50000</v>
      </c>
      <c r="J46" t="s">
        <v>39</v>
      </c>
    </row>
    <row r="47" spans="1:10" ht="15.75" thickBot="1" x14ac:dyDescent="0.3">
      <c r="I47" s="22">
        <f>I46-I42</f>
        <v>37499.999999999964</v>
      </c>
      <c r="J47" s="9" t="s">
        <v>39</v>
      </c>
    </row>
    <row r="48" spans="1:10" ht="15.75" thickTop="1" x14ac:dyDescent="0.25"/>
    <row r="51" spans="1:3" x14ac:dyDescent="0.25">
      <c r="A51" s="12" t="s">
        <v>82</v>
      </c>
    </row>
    <row r="52" spans="1:3" x14ac:dyDescent="0.25">
      <c r="A52" t="s">
        <v>84</v>
      </c>
      <c r="B52" t="s">
        <v>85</v>
      </c>
    </row>
    <row r="53" spans="1:3" x14ac:dyDescent="0.25">
      <c r="A53" t="s">
        <v>88</v>
      </c>
      <c r="B53" t="s">
        <v>87</v>
      </c>
    </row>
    <row r="54" spans="1:3" x14ac:dyDescent="0.25">
      <c r="A54" t="s">
        <v>89</v>
      </c>
      <c r="B54" t="s">
        <v>90</v>
      </c>
    </row>
    <row r="56" spans="1:3" x14ac:dyDescent="0.25">
      <c r="A56" s="12" t="s">
        <v>83</v>
      </c>
    </row>
    <row r="57" spans="1:3" x14ac:dyDescent="0.25">
      <c r="A57" t="s">
        <v>86</v>
      </c>
      <c r="B57" t="s">
        <v>87</v>
      </c>
    </row>
    <row r="58" spans="1:3" x14ac:dyDescent="0.25">
      <c r="A58" t="s">
        <v>88</v>
      </c>
      <c r="B58" t="s">
        <v>91</v>
      </c>
      <c r="C58" t="s">
        <v>92</v>
      </c>
    </row>
    <row r="59" spans="1:3" x14ac:dyDescent="0.25">
      <c r="A59" t="s">
        <v>70</v>
      </c>
      <c r="B59" t="s">
        <v>93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9"/>
  <sheetViews>
    <sheetView workbookViewId="0">
      <selection activeCell="B21" sqref="B21"/>
    </sheetView>
  </sheetViews>
  <sheetFormatPr defaultRowHeight="15" x14ac:dyDescent="0.25"/>
  <cols>
    <col min="1" max="1" width="55.42578125" customWidth="1"/>
    <col min="2" max="2" width="22.140625" customWidth="1"/>
    <col min="3" max="3" width="14" bestFit="1" customWidth="1"/>
    <col min="5" max="5" width="14.42578125" customWidth="1"/>
    <col min="7" max="7" width="13.28515625" bestFit="1" customWidth="1"/>
    <col min="9" max="9" width="13.5703125" customWidth="1"/>
  </cols>
  <sheetData>
    <row r="2" spans="1:8" x14ac:dyDescent="0.25">
      <c r="A2" s="9" t="s">
        <v>94</v>
      </c>
    </row>
    <row r="4" spans="1:8" x14ac:dyDescent="0.25">
      <c r="D4" s="1"/>
    </row>
    <row r="5" spans="1:8" x14ac:dyDescent="0.25">
      <c r="A5" t="s">
        <v>51</v>
      </c>
      <c r="B5" t="s">
        <v>95</v>
      </c>
      <c r="C5" s="8">
        <f>4*500*1000</f>
        <v>2000000</v>
      </c>
      <c r="D5" s="1"/>
    </row>
    <row r="6" spans="1:8" x14ac:dyDescent="0.25">
      <c r="A6" t="s">
        <v>53</v>
      </c>
      <c r="B6" t="s">
        <v>96</v>
      </c>
      <c r="C6" s="8">
        <f>6*400*1000</f>
        <v>2400000</v>
      </c>
      <c r="D6" s="1"/>
    </row>
    <row r="7" spans="1:8" x14ac:dyDescent="0.25">
      <c r="A7" s="12" t="s">
        <v>2</v>
      </c>
      <c r="B7" s="12"/>
      <c r="C7" s="13">
        <f>C6-C5</f>
        <v>400000</v>
      </c>
      <c r="D7" s="16" t="s">
        <v>39</v>
      </c>
      <c r="E7" t="s">
        <v>69</v>
      </c>
      <c r="G7" s="11">
        <f>+I34</f>
        <v>600000</v>
      </c>
      <c r="H7" s="8" t="str">
        <f>+J34</f>
        <v>F</v>
      </c>
    </row>
    <row r="8" spans="1:8" x14ac:dyDescent="0.25">
      <c r="D8" s="1"/>
      <c r="E8" t="s">
        <v>70</v>
      </c>
      <c r="G8" s="8">
        <f>+I38</f>
        <v>1000000</v>
      </c>
      <c r="H8" s="8" t="str">
        <f>+J38</f>
        <v>A</v>
      </c>
    </row>
    <row r="9" spans="1:8" ht="15.75" thickBot="1" x14ac:dyDescent="0.3">
      <c r="A9" t="s">
        <v>53</v>
      </c>
      <c r="B9" t="s">
        <v>96</v>
      </c>
      <c r="C9" s="8">
        <f>6*400*1000</f>
        <v>2400000</v>
      </c>
      <c r="D9" s="1"/>
      <c r="G9" s="21">
        <f>G8-G7</f>
        <v>400000</v>
      </c>
      <c r="H9" s="14" t="s">
        <v>39</v>
      </c>
    </row>
    <row r="10" spans="1:8" ht="15.75" thickTop="1" x14ac:dyDescent="0.25">
      <c r="A10" t="s">
        <v>40</v>
      </c>
      <c r="C10" s="8">
        <v>2380000</v>
      </c>
      <c r="D10" s="1"/>
      <c r="H10" s="8"/>
    </row>
    <row r="11" spans="1:8" x14ac:dyDescent="0.25">
      <c r="A11" s="12" t="s">
        <v>42</v>
      </c>
      <c r="B11" s="12"/>
      <c r="C11" s="13">
        <f>C9-C10</f>
        <v>20000</v>
      </c>
      <c r="D11" s="16" t="s">
        <v>41</v>
      </c>
      <c r="E11" t="s">
        <v>69</v>
      </c>
      <c r="G11" s="11">
        <f>+I43</f>
        <v>99999.999999999971</v>
      </c>
      <c r="H11" s="8" t="str">
        <f>+J43</f>
        <v>F</v>
      </c>
    </row>
    <row r="12" spans="1:8" x14ac:dyDescent="0.25">
      <c r="D12" s="1"/>
      <c r="E12" t="s">
        <v>70</v>
      </c>
      <c r="G12" s="11">
        <f>+I47</f>
        <v>80000</v>
      </c>
      <c r="H12" s="8" t="str">
        <f>+J47</f>
        <v>A</v>
      </c>
    </row>
    <row r="13" spans="1:8" ht="15.75" thickBot="1" x14ac:dyDescent="0.3">
      <c r="A13" t="s">
        <v>2</v>
      </c>
      <c r="C13" s="11">
        <f>+C7</f>
        <v>400000</v>
      </c>
      <c r="D13" s="17"/>
      <c r="G13" s="21">
        <f>G11-G12</f>
        <v>19999.999999999971</v>
      </c>
      <c r="H13" s="14" t="s">
        <v>41</v>
      </c>
    </row>
    <row r="14" spans="1:8" ht="15.75" thickTop="1" x14ac:dyDescent="0.25">
      <c r="A14" t="s">
        <v>42</v>
      </c>
      <c r="C14" s="11">
        <f>+C11</f>
        <v>20000</v>
      </c>
      <c r="D14" s="17"/>
      <c r="H14" s="8"/>
    </row>
    <row r="15" spans="1:8" x14ac:dyDescent="0.25">
      <c r="A15" s="12" t="s">
        <v>44</v>
      </c>
      <c r="B15" s="12"/>
      <c r="C15" s="13">
        <f>C13-C14</f>
        <v>380000</v>
      </c>
      <c r="D15" s="16" t="s">
        <v>39</v>
      </c>
      <c r="E15" t="s">
        <v>69</v>
      </c>
      <c r="G15" s="11">
        <f>+I24</f>
        <v>720000</v>
      </c>
      <c r="H15" s="8" t="str">
        <f>+J24</f>
        <v>F</v>
      </c>
    </row>
    <row r="16" spans="1:8" x14ac:dyDescent="0.25">
      <c r="D16" s="1"/>
      <c r="E16" t="s">
        <v>70</v>
      </c>
      <c r="G16" s="11">
        <f>+I28</f>
        <v>1100000</v>
      </c>
      <c r="H16" s="8" t="str">
        <f>+J28</f>
        <v>A</v>
      </c>
    </row>
    <row r="17" spans="1:10" ht="15.75" thickBot="1" x14ac:dyDescent="0.3">
      <c r="A17" t="s">
        <v>51</v>
      </c>
      <c r="B17" t="s">
        <v>95</v>
      </c>
      <c r="C17" s="8">
        <f>4*500*1000</f>
        <v>2000000</v>
      </c>
      <c r="D17" s="1"/>
      <c r="G17" s="21">
        <f>G16-G15</f>
        <v>380000</v>
      </c>
      <c r="H17" s="14" t="s">
        <v>39</v>
      </c>
    </row>
    <row r="18" spans="1:10" ht="15.75" thickTop="1" x14ac:dyDescent="0.25">
      <c r="A18" t="s">
        <v>40</v>
      </c>
      <c r="C18" s="8">
        <v>2380000</v>
      </c>
      <c r="D18" s="1"/>
    </row>
    <row r="19" spans="1:10" x14ac:dyDescent="0.25">
      <c r="A19" s="12" t="s">
        <v>44</v>
      </c>
      <c r="B19" s="12"/>
      <c r="C19" s="13">
        <f>C18-C17</f>
        <v>380000</v>
      </c>
      <c r="D19" s="16" t="s">
        <v>39</v>
      </c>
    </row>
    <row r="20" spans="1:10" x14ac:dyDescent="0.25">
      <c r="D20" s="1"/>
    </row>
    <row r="21" spans="1:10" x14ac:dyDescent="0.25">
      <c r="A21" s="18" t="s">
        <v>55</v>
      </c>
      <c r="D21" s="1"/>
    </row>
    <row r="22" spans="1:10" x14ac:dyDescent="0.25">
      <c r="D22" s="1"/>
    </row>
    <row r="23" spans="1:10" x14ac:dyDescent="0.25">
      <c r="A23" t="s">
        <v>56</v>
      </c>
      <c r="B23" s="19" t="s">
        <v>57</v>
      </c>
      <c r="C23" t="s">
        <v>58</v>
      </c>
      <c r="D23" s="20" t="s">
        <v>59</v>
      </c>
      <c r="E23" t="s">
        <v>60</v>
      </c>
      <c r="F23" s="19" t="s">
        <v>61</v>
      </c>
      <c r="G23" t="s">
        <v>62</v>
      </c>
    </row>
    <row r="24" spans="1:10" x14ac:dyDescent="0.25">
      <c r="B24" s="19" t="s">
        <v>57</v>
      </c>
      <c r="C24" s="8">
        <v>500</v>
      </c>
      <c r="D24" s="20" t="s">
        <v>59</v>
      </c>
      <c r="E24" s="8">
        <f>2380000/6200</f>
        <v>383.87096774193549</v>
      </c>
      <c r="F24" s="19" t="s">
        <v>61</v>
      </c>
      <c r="G24" s="8">
        <v>6200</v>
      </c>
      <c r="H24" s="19" t="s">
        <v>57</v>
      </c>
      <c r="I24" s="11">
        <f>(C24-E24)*G24</f>
        <v>720000</v>
      </c>
      <c r="J24" s="8" t="s">
        <v>41</v>
      </c>
    </row>
    <row r="25" spans="1:10" x14ac:dyDescent="0.25">
      <c r="D25" s="1"/>
      <c r="E25" s="2" t="s">
        <v>97</v>
      </c>
      <c r="J25" s="8"/>
    </row>
    <row r="26" spans="1:10" x14ac:dyDescent="0.25">
      <c r="D26" s="1"/>
      <c r="J26" s="8"/>
    </row>
    <row r="27" spans="1:10" x14ac:dyDescent="0.25">
      <c r="A27" t="s">
        <v>64</v>
      </c>
      <c r="B27" s="19" t="s">
        <v>57</v>
      </c>
      <c r="C27" t="s">
        <v>65</v>
      </c>
      <c r="D27" s="20" t="s">
        <v>59</v>
      </c>
      <c r="E27" t="s">
        <v>66</v>
      </c>
      <c r="F27" s="19" t="s">
        <v>61</v>
      </c>
      <c r="G27" t="s">
        <v>67</v>
      </c>
      <c r="J27" s="8"/>
    </row>
    <row r="28" spans="1:10" x14ac:dyDescent="0.25">
      <c r="B28" s="19" t="s">
        <v>57</v>
      </c>
      <c r="C28" s="8">
        <v>4000</v>
      </c>
      <c r="D28" s="20" t="s">
        <v>59</v>
      </c>
      <c r="E28" s="8">
        <v>6200</v>
      </c>
      <c r="F28" s="19" t="s">
        <v>61</v>
      </c>
      <c r="G28" s="8">
        <v>500</v>
      </c>
      <c r="H28" s="19" t="s">
        <v>57</v>
      </c>
      <c r="I28" s="11">
        <f>(E28-C28)*G28</f>
        <v>1100000</v>
      </c>
      <c r="J28" s="8" t="s">
        <v>39</v>
      </c>
    </row>
    <row r="29" spans="1:10" ht="15.75" thickBot="1" x14ac:dyDescent="0.3">
      <c r="C29" s="2" t="s">
        <v>98</v>
      </c>
      <c r="D29" s="1"/>
      <c r="I29" s="22">
        <f>SUM(I24:I28)</f>
        <v>1820000</v>
      </c>
      <c r="J29" s="23" t="s">
        <v>39</v>
      </c>
    </row>
    <row r="30" spans="1:10" ht="15.75" thickTop="1" x14ac:dyDescent="0.25">
      <c r="D30" s="1"/>
    </row>
    <row r="31" spans="1:10" x14ac:dyDescent="0.25">
      <c r="A31" s="18" t="s">
        <v>71</v>
      </c>
      <c r="D31" s="1"/>
    </row>
    <row r="32" spans="1:10" x14ac:dyDescent="0.25">
      <c r="D32" s="1"/>
    </row>
    <row r="33" spans="1:10" x14ac:dyDescent="0.25">
      <c r="A33" t="s">
        <v>56</v>
      </c>
      <c r="B33" s="19" t="s">
        <v>57</v>
      </c>
      <c r="C33" t="s">
        <v>58</v>
      </c>
      <c r="D33" s="20" t="s">
        <v>59</v>
      </c>
      <c r="E33" t="s">
        <v>72</v>
      </c>
      <c r="F33" s="19" t="s">
        <v>61</v>
      </c>
      <c r="G33" t="s">
        <v>73</v>
      </c>
    </row>
    <row r="34" spans="1:10" x14ac:dyDescent="0.25">
      <c r="B34" s="19" t="s">
        <v>57</v>
      </c>
      <c r="C34" s="8">
        <v>500</v>
      </c>
      <c r="D34" s="20" t="s">
        <v>59</v>
      </c>
      <c r="E34" s="8">
        <v>400</v>
      </c>
      <c r="F34" s="19" t="s">
        <v>61</v>
      </c>
      <c r="G34" s="8">
        <v>6000</v>
      </c>
      <c r="H34" s="19" t="s">
        <v>57</v>
      </c>
      <c r="I34" s="11">
        <f>(C34-E34)*G34</f>
        <v>600000</v>
      </c>
      <c r="J34" s="8" t="s">
        <v>41</v>
      </c>
    </row>
    <row r="35" spans="1:10" x14ac:dyDescent="0.25">
      <c r="D35" s="1"/>
      <c r="G35" s="2"/>
      <c r="J35" s="8"/>
    </row>
    <row r="36" spans="1:10" x14ac:dyDescent="0.25">
      <c r="D36" s="1"/>
    </row>
    <row r="37" spans="1:10" x14ac:dyDescent="0.25">
      <c r="A37" t="s">
        <v>64</v>
      </c>
      <c r="B37" s="19" t="s">
        <v>57</v>
      </c>
      <c r="C37" t="s">
        <v>65</v>
      </c>
      <c r="D37" s="20" t="s">
        <v>59</v>
      </c>
      <c r="E37" t="s">
        <v>75</v>
      </c>
      <c r="F37" s="19" t="s">
        <v>61</v>
      </c>
      <c r="G37" t="s">
        <v>67</v>
      </c>
      <c r="J37" s="8"/>
    </row>
    <row r="38" spans="1:10" x14ac:dyDescent="0.25">
      <c r="B38" s="19" t="s">
        <v>57</v>
      </c>
      <c r="C38" s="2">
        <v>4000</v>
      </c>
      <c r="D38" s="20" t="s">
        <v>59</v>
      </c>
      <c r="E38" s="8">
        <v>6000</v>
      </c>
      <c r="F38" s="19" t="s">
        <v>61</v>
      </c>
      <c r="G38" s="8">
        <v>500</v>
      </c>
      <c r="H38" s="19" t="s">
        <v>57</v>
      </c>
      <c r="I38" s="11">
        <f>(E38-C38)*G38</f>
        <v>1000000</v>
      </c>
      <c r="J38" s="8" t="s">
        <v>39</v>
      </c>
    </row>
    <row r="39" spans="1:10" ht="15.75" thickBot="1" x14ac:dyDescent="0.3">
      <c r="C39" s="2" t="s">
        <v>98</v>
      </c>
      <c r="D39" s="1"/>
      <c r="I39" s="22">
        <f>I38-I34</f>
        <v>400000</v>
      </c>
      <c r="J39" s="9" t="s">
        <v>39</v>
      </c>
    </row>
    <row r="40" spans="1:10" ht="15.75" thickTop="1" x14ac:dyDescent="0.25">
      <c r="D40" s="1"/>
    </row>
    <row r="41" spans="1:10" x14ac:dyDescent="0.25">
      <c r="A41" s="18" t="s">
        <v>77</v>
      </c>
      <c r="D41" s="1"/>
    </row>
    <row r="42" spans="1:10" x14ac:dyDescent="0.25">
      <c r="A42" t="s">
        <v>56</v>
      </c>
      <c r="B42" s="19" t="s">
        <v>57</v>
      </c>
      <c r="C42" t="s">
        <v>78</v>
      </c>
      <c r="D42" s="20" t="s">
        <v>59</v>
      </c>
      <c r="E42" t="s">
        <v>60</v>
      </c>
      <c r="F42" s="19" t="s">
        <v>61</v>
      </c>
      <c r="G42" t="s">
        <v>79</v>
      </c>
    </row>
    <row r="43" spans="1:10" x14ac:dyDescent="0.25">
      <c r="B43" s="19" t="s">
        <v>57</v>
      </c>
      <c r="C43" s="8">
        <v>400</v>
      </c>
      <c r="D43" s="20" t="s">
        <v>59</v>
      </c>
      <c r="E43" s="8">
        <f>2380000/6200</f>
        <v>383.87096774193549</v>
      </c>
      <c r="F43" s="19" t="s">
        <v>61</v>
      </c>
      <c r="G43" s="8">
        <v>6200</v>
      </c>
      <c r="H43" s="19" t="s">
        <v>57</v>
      </c>
      <c r="I43" s="11">
        <f>(C43-E43)*G43</f>
        <v>99999.999999999971</v>
      </c>
      <c r="J43" s="8" t="s">
        <v>41</v>
      </c>
    </row>
    <row r="44" spans="1:10" x14ac:dyDescent="0.25">
      <c r="D44" s="1"/>
      <c r="E44" s="2" t="s">
        <v>97</v>
      </c>
    </row>
    <row r="45" spans="1:10" x14ac:dyDescent="0.25">
      <c r="D45" s="1"/>
      <c r="E45" s="2"/>
    </row>
    <row r="46" spans="1:10" x14ac:dyDescent="0.25">
      <c r="A46" t="s">
        <v>64</v>
      </c>
      <c r="B46" s="19" t="s">
        <v>57</v>
      </c>
      <c r="C46" t="s">
        <v>81</v>
      </c>
      <c r="D46" s="20" t="s">
        <v>59</v>
      </c>
      <c r="E46" t="s">
        <v>66</v>
      </c>
      <c r="F46" s="19" t="s">
        <v>61</v>
      </c>
      <c r="G46" t="s">
        <v>72</v>
      </c>
    </row>
    <row r="47" spans="1:10" x14ac:dyDescent="0.25">
      <c r="B47" s="19" t="s">
        <v>57</v>
      </c>
      <c r="C47" s="8">
        <v>6000</v>
      </c>
      <c r="D47" s="20" t="s">
        <v>59</v>
      </c>
      <c r="E47" s="8">
        <v>6200</v>
      </c>
      <c r="F47" s="19" t="s">
        <v>61</v>
      </c>
      <c r="G47" s="8">
        <v>400</v>
      </c>
      <c r="H47" s="19" t="s">
        <v>57</v>
      </c>
      <c r="I47" s="11">
        <f>(E47-C47)*G47</f>
        <v>80000</v>
      </c>
      <c r="J47" t="s">
        <v>39</v>
      </c>
    </row>
    <row r="48" spans="1:10" ht="15.75" thickBot="1" x14ac:dyDescent="0.3">
      <c r="D48" s="1"/>
      <c r="I48" s="22">
        <f>I43-I47</f>
        <v>19999.999999999971</v>
      </c>
      <c r="J48" s="9" t="s">
        <v>41</v>
      </c>
    </row>
    <row r="49" spans="4:4" ht="15.75" thickTop="1" x14ac:dyDescent="0.25">
      <c r="D49" s="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E22" sqref="E22"/>
    </sheetView>
  </sheetViews>
  <sheetFormatPr defaultRowHeight="15" x14ac:dyDescent="0.25"/>
  <sheetData>
    <row r="2" spans="1:1" x14ac:dyDescent="0.25">
      <c r="A2" s="9" t="s">
        <v>94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workbookViewId="0">
      <selection activeCell="C22" sqref="C22"/>
    </sheetView>
  </sheetViews>
  <sheetFormatPr defaultRowHeight="15" x14ac:dyDescent="0.25"/>
  <cols>
    <col min="1" max="1" width="46.7109375" customWidth="1"/>
    <col min="2" max="2" width="14.5703125" customWidth="1"/>
    <col min="3" max="3" width="11.28515625" bestFit="1" customWidth="1"/>
    <col min="4" max="4" width="9.140625" style="2"/>
    <col min="9" max="9" width="10.42578125" bestFit="1" customWidth="1"/>
    <col min="12" max="12" width="31.42578125" bestFit="1" customWidth="1"/>
    <col min="13" max="13" width="23" bestFit="1" customWidth="1"/>
  </cols>
  <sheetData>
    <row r="2" spans="1:13" x14ac:dyDescent="0.25">
      <c r="A2" s="9" t="s">
        <v>99</v>
      </c>
      <c r="L2" s="24" t="s">
        <v>100</v>
      </c>
    </row>
    <row r="3" spans="1:13" x14ac:dyDescent="0.25">
      <c r="L3" t="s">
        <v>101</v>
      </c>
      <c r="M3" t="s">
        <v>103</v>
      </c>
    </row>
    <row r="4" spans="1:13" x14ac:dyDescent="0.25">
      <c r="A4" t="s">
        <v>105</v>
      </c>
      <c r="B4" t="s">
        <v>107</v>
      </c>
      <c r="C4" s="8">
        <f>40*400</f>
        <v>16000</v>
      </c>
      <c r="I4" t="s">
        <v>106</v>
      </c>
      <c r="J4">
        <v>100</v>
      </c>
      <c r="L4" t="s">
        <v>102</v>
      </c>
      <c r="M4" t="s">
        <v>104</v>
      </c>
    </row>
    <row r="5" spans="1:13" x14ac:dyDescent="0.25">
      <c r="A5" t="s">
        <v>108</v>
      </c>
      <c r="B5" t="s">
        <v>109</v>
      </c>
      <c r="C5" s="8">
        <f>40*300</f>
        <v>12000</v>
      </c>
    </row>
    <row r="6" spans="1:13" x14ac:dyDescent="0.25">
      <c r="A6" s="12" t="s">
        <v>2</v>
      </c>
      <c r="B6" s="12"/>
      <c r="C6" s="13">
        <f>C4-C5</f>
        <v>4000</v>
      </c>
      <c r="D6" s="14" t="s">
        <v>39</v>
      </c>
    </row>
    <row r="7" spans="1:13" x14ac:dyDescent="0.25">
      <c r="D7" s="15"/>
    </row>
    <row r="8" spans="1:13" x14ac:dyDescent="0.25">
      <c r="A8" t="s">
        <v>108</v>
      </c>
      <c r="B8" t="s">
        <v>109</v>
      </c>
      <c r="C8" s="8">
        <f>40*300</f>
        <v>12000</v>
      </c>
      <c r="D8" s="15"/>
    </row>
    <row r="9" spans="1:13" x14ac:dyDescent="0.25">
      <c r="A9" t="s">
        <v>110</v>
      </c>
      <c r="B9" t="s">
        <v>111</v>
      </c>
      <c r="C9" s="8">
        <f>40*320</f>
        <v>12800</v>
      </c>
      <c r="D9" s="15"/>
    </row>
    <row r="10" spans="1:13" x14ac:dyDescent="0.25">
      <c r="A10" s="12" t="s">
        <v>42</v>
      </c>
      <c r="B10" s="12"/>
      <c r="C10" s="13">
        <f>C9-C8</f>
        <v>800</v>
      </c>
      <c r="D10" s="14" t="s">
        <v>41</v>
      </c>
    </row>
    <row r="11" spans="1:13" x14ac:dyDescent="0.25">
      <c r="D11" s="15"/>
    </row>
    <row r="12" spans="1:13" x14ac:dyDescent="0.25">
      <c r="A12" t="s">
        <v>2</v>
      </c>
      <c r="C12" s="11">
        <f>+C6</f>
        <v>4000</v>
      </c>
      <c r="D12" s="15" t="s">
        <v>39</v>
      </c>
    </row>
    <row r="13" spans="1:13" x14ac:dyDescent="0.25">
      <c r="A13" t="s">
        <v>42</v>
      </c>
      <c r="C13" s="11">
        <f>+C10</f>
        <v>800</v>
      </c>
      <c r="D13" s="15" t="s">
        <v>41</v>
      </c>
    </row>
    <row r="14" spans="1:13" x14ac:dyDescent="0.25">
      <c r="A14" s="12" t="s">
        <v>44</v>
      </c>
      <c r="B14" s="12"/>
      <c r="C14" s="13">
        <f>C12-C13</f>
        <v>3200</v>
      </c>
      <c r="D14" s="15" t="s">
        <v>39</v>
      </c>
    </row>
    <row r="16" spans="1:13" x14ac:dyDescent="0.25">
      <c r="A16" t="s">
        <v>105</v>
      </c>
      <c r="B16" t="s">
        <v>107</v>
      </c>
      <c r="C16" s="8">
        <f>40*400</f>
        <v>16000</v>
      </c>
    </row>
    <row r="17" spans="1:4" x14ac:dyDescent="0.25">
      <c r="A17" t="s">
        <v>110</v>
      </c>
      <c r="C17" s="8">
        <v>12800</v>
      </c>
    </row>
    <row r="18" spans="1:4" x14ac:dyDescent="0.25">
      <c r="A18" s="12" t="s">
        <v>44</v>
      </c>
      <c r="B18" s="12"/>
      <c r="C18" s="13">
        <f>C16-C17</f>
        <v>3200</v>
      </c>
      <c r="D18" s="2" t="s">
        <v>39</v>
      </c>
    </row>
    <row r="21" spans="1:4" x14ac:dyDescent="0.25">
      <c r="A21" s="9" t="s">
        <v>112</v>
      </c>
    </row>
    <row r="22" spans="1:4" x14ac:dyDescent="0.25">
      <c r="A22" t="s">
        <v>113</v>
      </c>
      <c r="C22" s="8">
        <v>6000</v>
      </c>
    </row>
    <row r="24" spans="1:4" x14ac:dyDescent="0.25">
      <c r="A24" t="s">
        <v>43</v>
      </c>
      <c r="B24" s="26" t="s">
        <v>117</v>
      </c>
    </row>
    <row r="25" spans="1:4" x14ac:dyDescent="0.25">
      <c r="A25" t="s">
        <v>115</v>
      </c>
      <c r="B25" s="27" t="s">
        <v>116</v>
      </c>
      <c r="C25" s="8">
        <v>3200</v>
      </c>
      <c r="D25" s="2" t="s">
        <v>39</v>
      </c>
    </row>
    <row r="27" spans="1:4" ht="15.75" thickBot="1" x14ac:dyDescent="0.3">
      <c r="A27" t="s">
        <v>114</v>
      </c>
      <c r="C27" s="25">
        <v>2800</v>
      </c>
    </row>
    <row r="28" spans="1:4" ht="15.75" thickTop="1" x14ac:dyDescent="0.25"/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workbookViewId="0">
      <selection activeCell="B22" sqref="B22"/>
    </sheetView>
  </sheetViews>
  <sheetFormatPr defaultRowHeight="15" x14ac:dyDescent="0.25"/>
  <cols>
    <col min="1" max="1" width="25.28515625" bestFit="1" customWidth="1"/>
    <col min="2" max="2" width="13.85546875" bestFit="1" customWidth="1"/>
    <col min="3" max="3" width="11.5703125" bestFit="1" customWidth="1"/>
  </cols>
  <sheetData>
    <row r="2" spans="1:9" x14ac:dyDescent="0.25">
      <c r="A2" s="9" t="s">
        <v>118</v>
      </c>
    </row>
    <row r="3" spans="1:9" x14ac:dyDescent="0.25">
      <c r="A3" s="9"/>
    </row>
    <row r="4" spans="1:9" x14ac:dyDescent="0.25">
      <c r="A4" s="28" t="s">
        <v>119</v>
      </c>
    </row>
    <row r="5" spans="1:9" x14ac:dyDescent="0.25">
      <c r="A5" t="s">
        <v>120</v>
      </c>
      <c r="B5" t="s">
        <v>124</v>
      </c>
      <c r="C5" s="8">
        <f>10000*10</f>
        <v>100000</v>
      </c>
      <c r="D5" s="2"/>
      <c r="E5" s="146" t="s">
        <v>131</v>
      </c>
      <c r="F5" s="146"/>
      <c r="G5" s="146"/>
      <c r="H5" s="146"/>
      <c r="I5" s="146"/>
    </row>
    <row r="6" spans="1:9" x14ac:dyDescent="0.25">
      <c r="A6" t="s">
        <v>121</v>
      </c>
      <c r="B6" t="s">
        <v>125</v>
      </c>
      <c r="C6" s="8">
        <f>10000*4.5</f>
        <v>45000</v>
      </c>
      <c r="D6" s="2"/>
      <c r="E6" s="146"/>
      <c r="F6" s="146"/>
      <c r="G6" s="146"/>
      <c r="H6" s="146"/>
      <c r="I6" s="146"/>
    </row>
    <row r="7" spans="1:9" x14ac:dyDescent="0.25">
      <c r="A7" s="12" t="s">
        <v>2</v>
      </c>
      <c r="B7" s="12"/>
      <c r="C7" s="13">
        <f>C5-C6</f>
        <v>55000</v>
      </c>
      <c r="D7" s="14" t="s">
        <v>39</v>
      </c>
      <c r="E7" s="146"/>
      <c r="F7" s="146"/>
      <c r="G7" s="146"/>
      <c r="H7" s="146"/>
      <c r="I7" s="146"/>
    </row>
    <row r="8" spans="1:9" x14ac:dyDescent="0.25">
      <c r="D8" s="15"/>
      <c r="E8" s="146"/>
      <c r="F8" s="146"/>
      <c r="G8" s="146"/>
      <c r="H8" s="146"/>
      <c r="I8" s="146"/>
    </row>
    <row r="9" spans="1:9" x14ac:dyDescent="0.25">
      <c r="A9" t="s">
        <v>121</v>
      </c>
      <c r="B9" t="s">
        <v>125</v>
      </c>
      <c r="C9" s="8">
        <f>10000*4.5</f>
        <v>45000</v>
      </c>
      <c r="D9" s="15"/>
      <c r="E9" s="146"/>
      <c r="F9" s="146"/>
      <c r="G9" s="146"/>
      <c r="H9" s="146"/>
      <c r="I9" s="146"/>
    </row>
    <row r="10" spans="1:9" x14ac:dyDescent="0.25">
      <c r="A10" t="s">
        <v>122</v>
      </c>
      <c r="B10" t="s">
        <v>126</v>
      </c>
      <c r="C10" s="8">
        <f>10000*5</f>
        <v>50000</v>
      </c>
      <c r="D10" s="15"/>
      <c r="E10" s="146"/>
      <c r="F10" s="146"/>
      <c r="G10" s="146"/>
      <c r="H10" s="146"/>
      <c r="I10" s="146"/>
    </row>
    <row r="11" spans="1:9" x14ac:dyDescent="0.25">
      <c r="A11" s="12" t="s">
        <v>42</v>
      </c>
      <c r="B11" s="12"/>
      <c r="C11" s="13">
        <f>C10-C9</f>
        <v>5000</v>
      </c>
      <c r="D11" s="14" t="s">
        <v>41</v>
      </c>
      <c r="E11" s="146"/>
      <c r="F11" s="146"/>
      <c r="G11" s="146"/>
      <c r="H11" s="146"/>
      <c r="I11" s="146"/>
    </row>
    <row r="12" spans="1:9" x14ac:dyDescent="0.25">
      <c r="D12" s="15"/>
      <c r="E12" s="146"/>
      <c r="F12" s="146"/>
      <c r="G12" s="146"/>
      <c r="H12" s="146"/>
      <c r="I12" s="146"/>
    </row>
    <row r="13" spans="1:9" x14ac:dyDescent="0.25">
      <c r="A13" t="s">
        <v>2</v>
      </c>
      <c r="C13" s="11">
        <f>+C7</f>
        <v>55000</v>
      </c>
      <c r="D13" s="15" t="s">
        <v>39</v>
      </c>
      <c r="E13" s="146"/>
      <c r="F13" s="146"/>
      <c r="G13" s="146"/>
      <c r="H13" s="146"/>
      <c r="I13" s="146"/>
    </row>
    <row r="14" spans="1:9" x14ac:dyDescent="0.25">
      <c r="A14" t="s">
        <v>42</v>
      </c>
      <c r="C14" s="11">
        <f>+C11</f>
        <v>5000</v>
      </c>
      <c r="D14" s="15" t="s">
        <v>41</v>
      </c>
      <c r="E14" s="146"/>
      <c r="F14" s="146"/>
      <c r="G14" s="146"/>
      <c r="H14" s="146"/>
      <c r="I14" s="146"/>
    </row>
    <row r="15" spans="1:9" x14ac:dyDescent="0.25">
      <c r="A15" s="12" t="s">
        <v>44</v>
      </c>
      <c r="B15" s="12"/>
      <c r="C15" s="13">
        <f>C13-C14</f>
        <v>50000</v>
      </c>
      <c r="D15" s="15" t="s">
        <v>39</v>
      </c>
      <c r="E15" s="146"/>
      <c r="F15" s="146"/>
      <c r="G15" s="146"/>
      <c r="H15" s="146"/>
      <c r="I15" s="146"/>
    </row>
    <row r="16" spans="1:9" x14ac:dyDescent="0.25">
      <c r="D16" s="2"/>
      <c r="E16" s="146"/>
      <c r="F16" s="146"/>
      <c r="G16" s="146"/>
      <c r="H16" s="146"/>
      <c r="I16" s="146"/>
    </row>
    <row r="17" spans="1:9" x14ac:dyDescent="0.25">
      <c r="A17" t="s">
        <v>123</v>
      </c>
      <c r="B17" t="s">
        <v>124</v>
      </c>
      <c r="C17" s="8">
        <f>10000*10</f>
        <v>100000</v>
      </c>
      <c r="D17" s="2"/>
      <c r="E17" s="146"/>
      <c r="F17" s="146"/>
      <c r="G17" s="146"/>
      <c r="H17" s="146"/>
      <c r="I17" s="146"/>
    </row>
    <row r="18" spans="1:9" x14ac:dyDescent="0.25">
      <c r="A18" t="s">
        <v>122</v>
      </c>
      <c r="B18" t="s">
        <v>126</v>
      </c>
      <c r="C18" s="8">
        <f>10000*5</f>
        <v>50000</v>
      </c>
      <c r="D18" s="2"/>
      <c r="E18" s="146"/>
      <c r="F18" s="146"/>
      <c r="G18" s="146"/>
      <c r="H18" s="146"/>
      <c r="I18" s="146"/>
    </row>
    <row r="19" spans="1:9" x14ac:dyDescent="0.25">
      <c r="A19" s="12" t="s">
        <v>44</v>
      </c>
      <c r="B19" s="12"/>
      <c r="C19" s="13">
        <f>C17-C18</f>
        <v>50000</v>
      </c>
      <c r="D19" s="2" t="s">
        <v>39</v>
      </c>
      <c r="E19" s="146"/>
      <c r="F19" s="146"/>
      <c r="G19" s="146"/>
      <c r="H19" s="146"/>
      <c r="I19" s="146"/>
    </row>
    <row r="21" spans="1:9" x14ac:dyDescent="0.25">
      <c r="A21" s="28" t="s">
        <v>127</v>
      </c>
    </row>
    <row r="22" spans="1:9" x14ac:dyDescent="0.25">
      <c r="A22" t="s">
        <v>105</v>
      </c>
      <c r="B22" t="s">
        <v>128</v>
      </c>
      <c r="C22" s="8">
        <f>10000*7</f>
        <v>70000</v>
      </c>
      <c r="D22" s="2"/>
      <c r="E22" s="147" t="s">
        <v>132</v>
      </c>
      <c r="F22" s="147"/>
      <c r="G22" s="147"/>
      <c r="H22" s="147"/>
      <c r="I22" s="147"/>
    </row>
    <row r="23" spans="1:9" x14ac:dyDescent="0.25">
      <c r="A23" t="s">
        <v>108</v>
      </c>
      <c r="B23" t="s">
        <v>129</v>
      </c>
      <c r="C23" s="8">
        <f>10000*1.5</f>
        <v>15000</v>
      </c>
      <c r="D23" s="2"/>
      <c r="E23" s="147"/>
      <c r="F23" s="147"/>
      <c r="G23" s="147"/>
      <c r="H23" s="147"/>
      <c r="I23" s="147"/>
    </row>
    <row r="24" spans="1:9" x14ac:dyDescent="0.25">
      <c r="A24" s="12" t="s">
        <v>2</v>
      </c>
      <c r="B24" s="12"/>
      <c r="C24" s="13">
        <f>C22-C23</f>
        <v>55000</v>
      </c>
      <c r="D24" s="14" t="s">
        <v>39</v>
      </c>
      <c r="E24" s="147"/>
      <c r="F24" s="147"/>
      <c r="G24" s="147"/>
      <c r="H24" s="147"/>
      <c r="I24" s="147"/>
    </row>
    <row r="25" spans="1:9" x14ac:dyDescent="0.25">
      <c r="D25" s="15"/>
      <c r="E25" s="147"/>
      <c r="F25" s="147"/>
      <c r="G25" s="147"/>
      <c r="H25" s="147"/>
      <c r="I25" s="147"/>
    </row>
    <row r="26" spans="1:9" x14ac:dyDescent="0.25">
      <c r="A26" t="s">
        <v>108</v>
      </c>
      <c r="B26" t="s">
        <v>129</v>
      </c>
      <c r="C26" s="8">
        <f>10000*1.5</f>
        <v>15000</v>
      </c>
      <c r="D26" s="15"/>
      <c r="E26" s="147"/>
      <c r="F26" s="147"/>
      <c r="G26" s="147"/>
      <c r="H26" s="147"/>
      <c r="I26" s="147"/>
    </row>
    <row r="27" spans="1:9" x14ac:dyDescent="0.25">
      <c r="A27" t="s">
        <v>110</v>
      </c>
      <c r="B27" t="s">
        <v>130</v>
      </c>
      <c r="C27" s="8">
        <f>20000</f>
        <v>20000</v>
      </c>
      <c r="D27" s="15"/>
      <c r="E27" s="147"/>
      <c r="F27" s="147"/>
      <c r="G27" s="147"/>
      <c r="H27" s="147"/>
      <c r="I27" s="147"/>
    </row>
    <row r="28" spans="1:9" x14ac:dyDescent="0.25">
      <c r="A28" s="12" t="s">
        <v>42</v>
      </c>
      <c r="B28" s="12"/>
      <c r="C28" s="13">
        <f>C27-C26</f>
        <v>5000</v>
      </c>
      <c r="D28" s="14" t="s">
        <v>41</v>
      </c>
      <c r="E28" s="147"/>
      <c r="F28" s="147"/>
      <c r="G28" s="147"/>
      <c r="H28" s="147"/>
      <c r="I28" s="147"/>
    </row>
    <row r="29" spans="1:9" x14ac:dyDescent="0.25">
      <c r="D29" s="15"/>
    </row>
  </sheetData>
  <mergeCells count="2">
    <mergeCell ref="E5:I19"/>
    <mergeCell ref="E22:I28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7"/>
  <sheetViews>
    <sheetView workbookViewId="0">
      <selection activeCell="G22" sqref="G22"/>
    </sheetView>
  </sheetViews>
  <sheetFormatPr defaultRowHeight="15" x14ac:dyDescent="0.25"/>
  <cols>
    <col min="1" max="1" width="26.28515625" customWidth="1"/>
    <col min="2" max="2" width="4.42578125" customWidth="1"/>
    <col min="3" max="3" width="15.140625" customWidth="1"/>
    <col min="4" max="4" width="5.140625" customWidth="1"/>
    <col min="5" max="5" width="14.7109375" bestFit="1" customWidth="1"/>
    <col min="6" max="6" width="2.85546875" customWidth="1"/>
    <col min="7" max="7" width="18.140625" bestFit="1" customWidth="1"/>
    <col min="8" max="8" width="3.140625" customWidth="1"/>
    <col min="9" max="9" width="15" bestFit="1" customWidth="1"/>
    <col min="11" max="11" width="12.140625" customWidth="1"/>
    <col min="12" max="12" width="5.140625" customWidth="1"/>
    <col min="13" max="13" width="17.28515625" bestFit="1" customWidth="1"/>
  </cols>
  <sheetData>
    <row r="2" spans="1:10" x14ac:dyDescent="0.25">
      <c r="A2" s="9" t="s">
        <v>133</v>
      </c>
    </row>
    <row r="3" spans="1:10" ht="15.75" thickBot="1" x14ac:dyDescent="0.3"/>
    <row r="4" spans="1:10" x14ac:dyDescent="0.25">
      <c r="A4" s="31" t="s">
        <v>137</v>
      </c>
      <c r="B4" s="32" t="s">
        <v>57</v>
      </c>
      <c r="C4" s="33" t="s">
        <v>134</v>
      </c>
      <c r="D4" s="34" t="s">
        <v>59</v>
      </c>
      <c r="E4" s="35" t="s">
        <v>135</v>
      </c>
      <c r="F4" s="32" t="s">
        <v>61</v>
      </c>
      <c r="G4" s="31" t="s">
        <v>136</v>
      </c>
      <c r="H4" s="31"/>
      <c r="I4" s="31"/>
      <c r="J4" s="31"/>
    </row>
    <row r="5" spans="1:10" x14ac:dyDescent="0.25">
      <c r="A5" s="36"/>
      <c r="B5" s="37" t="s">
        <v>57</v>
      </c>
      <c r="C5" s="38">
        <v>200</v>
      </c>
      <c r="D5" s="39" t="s">
        <v>59</v>
      </c>
      <c r="E5" s="40">
        <f>1599000/7800</f>
        <v>205</v>
      </c>
      <c r="F5" s="37" t="s">
        <v>61</v>
      </c>
      <c r="G5" s="41">
        <v>7800</v>
      </c>
      <c r="H5" s="37" t="s">
        <v>57</v>
      </c>
      <c r="I5" s="42">
        <f>(E5-C5)*G5</f>
        <v>39000</v>
      </c>
      <c r="J5" s="41" t="s">
        <v>39</v>
      </c>
    </row>
    <row r="6" spans="1:10" x14ac:dyDescent="0.25">
      <c r="A6" s="36"/>
      <c r="B6" s="36"/>
      <c r="C6" s="43"/>
      <c r="D6" s="36"/>
      <c r="E6" s="44" t="s">
        <v>138</v>
      </c>
      <c r="F6" s="36"/>
      <c r="G6" s="36"/>
      <c r="H6" s="36"/>
      <c r="I6" s="36"/>
      <c r="J6" s="36"/>
    </row>
    <row r="7" spans="1:10" x14ac:dyDescent="0.25">
      <c r="A7" s="36"/>
      <c r="B7" s="36"/>
      <c r="C7" s="43"/>
      <c r="D7" s="36"/>
      <c r="E7" s="44"/>
      <c r="F7" s="36"/>
      <c r="G7" s="36"/>
      <c r="H7" s="36"/>
      <c r="I7" s="36"/>
      <c r="J7" s="36"/>
    </row>
    <row r="8" spans="1:10" x14ac:dyDescent="0.25">
      <c r="A8" s="36" t="s">
        <v>139</v>
      </c>
      <c r="B8" s="37" t="s">
        <v>57</v>
      </c>
      <c r="C8" s="43" t="s">
        <v>134</v>
      </c>
      <c r="D8" s="39" t="s">
        <v>59</v>
      </c>
      <c r="E8" s="44" t="s">
        <v>135</v>
      </c>
      <c r="F8" s="37" t="s">
        <v>61</v>
      </c>
      <c r="G8" s="36" t="s">
        <v>136</v>
      </c>
      <c r="H8" s="36"/>
      <c r="I8" s="36"/>
      <c r="J8" s="36"/>
    </row>
    <row r="9" spans="1:10" x14ac:dyDescent="0.25">
      <c r="A9" s="36"/>
      <c r="B9" s="37" t="s">
        <v>57</v>
      </c>
      <c r="C9" s="38">
        <v>600</v>
      </c>
      <c r="D9" s="39" t="s">
        <v>59</v>
      </c>
      <c r="E9" s="40">
        <f>2365000/4300</f>
        <v>550</v>
      </c>
      <c r="F9" s="37" t="s">
        <v>61</v>
      </c>
      <c r="G9" s="41">
        <v>4300</v>
      </c>
      <c r="H9" s="37" t="s">
        <v>57</v>
      </c>
      <c r="I9" s="45">
        <f>(C9-E9)*G9</f>
        <v>215000</v>
      </c>
      <c r="J9" s="41" t="s">
        <v>41</v>
      </c>
    </row>
    <row r="10" spans="1:10" x14ac:dyDescent="0.25">
      <c r="A10" s="36"/>
      <c r="B10" s="36"/>
      <c r="C10" s="43"/>
      <c r="D10" s="36"/>
      <c r="E10" s="44" t="s">
        <v>140</v>
      </c>
      <c r="F10" s="36"/>
      <c r="G10" s="36"/>
      <c r="H10" s="36"/>
      <c r="I10" s="36"/>
      <c r="J10" s="36"/>
    </row>
    <row r="11" spans="1:10" x14ac:dyDescent="0.25">
      <c r="A11" s="36"/>
      <c r="B11" s="36"/>
      <c r="C11" s="43"/>
      <c r="D11" s="36"/>
      <c r="E11" s="44"/>
      <c r="F11" s="36"/>
      <c r="G11" s="36"/>
      <c r="H11" s="36"/>
      <c r="I11" s="36"/>
      <c r="J11" s="36"/>
    </row>
    <row r="12" spans="1:10" x14ac:dyDescent="0.25">
      <c r="A12" s="36" t="s">
        <v>144</v>
      </c>
      <c r="B12" s="37" t="s">
        <v>57</v>
      </c>
      <c r="C12" s="43" t="s">
        <v>141</v>
      </c>
      <c r="D12" s="39" t="s">
        <v>59</v>
      </c>
      <c r="E12" s="44" t="s">
        <v>142</v>
      </c>
      <c r="F12" s="37" t="s">
        <v>61</v>
      </c>
      <c r="G12" s="36" t="s">
        <v>134</v>
      </c>
      <c r="H12" s="36"/>
      <c r="I12" s="36"/>
      <c r="J12" s="36"/>
    </row>
    <row r="13" spans="1:10" x14ac:dyDescent="0.25">
      <c r="A13" s="36"/>
      <c r="B13" s="37" t="s">
        <v>57</v>
      </c>
      <c r="C13" s="38">
        <v>8000</v>
      </c>
      <c r="D13" s="39" t="s">
        <v>59</v>
      </c>
      <c r="E13" s="40">
        <v>7800</v>
      </c>
      <c r="F13" s="37" t="s">
        <v>61</v>
      </c>
      <c r="G13" s="41">
        <v>200</v>
      </c>
      <c r="H13" s="37" t="s">
        <v>57</v>
      </c>
      <c r="I13" s="42">
        <f>(C13-E13)*G13</f>
        <v>40000</v>
      </c>
      <c r="J13" s="41" t="s">
        <v>41</v>
      </c>
    </row>
    <row r="14" spans="1:10" x14ac:dyDescent="0.25">
      <c r="A14" s="36"/>
      <c r="B14" s="36"/>
      <c r="C14" s="43" t="s">
        <v>143</v>
      </c>
      <c r="D14" s="36"/>
      <c r="E14" s="44"/>
      <c r="F14" s="36"/>
      <c r="G14" s="36"/>
      <c r="H14" s="36"/>
      <c r="I14" s="36"/>
      <c r="J14" s="36"/>
    </row>
    <row r="15" spans="1:10" x14ac:dyDescent="0.25">
      <c r="A15" s="36"/>
      <c r="B15" s="36"/>
      <c r="C15" s="43"/>
      <c r="D15" s="36"/>
      <c r="E15" s="44"/>
      <c r="F15" s="36"/>
      <c r="G15" s="36"/>
      <c r="H15" s="36"/>
      <c r="I15" s="36"/>
      <c r="J15" s="36"/>
    </row>
    <row r="16" spans="1:10" x14ac:dyDescent="0.25">
      <c r="A16" s="36" t="s">
        <v>145</v>
      </c>
      <c r="B16" s="37" t="s">
        <v>57</v>
      </c>
      <c r="C16" s="43" t="s">
        <v>141</v>
      </c>
      <c r="D16" s="39" t="s">
        <v>59</v>
      </c>
      <c r="E16" s="44" t="s">
        <v>142</v>
      </c>
      <c r="F16" s="37" t="s">
        <v>61</v>
      </c>
      <c r="G16" s="36" t="s">
        <v>134</v>
      </c>
      <c r="H16" s="36"/>
      <c r="I16" s="36"/>
      <c r="J16" s="36"/>
    </row>
    <row r="17" spans="1:10" x14ac:dyDescent="0.25">
      <c r="A17" s="36"/>
      <c r="B17" s="37" t="s">
        <v>57</v>
      </c>
      <c r="C17" s="38">
        <f>800*5</f>
        <v>4000</v>
      </c>
      <c r="D17" s="39" t="s">
        <v>59</v>
      </c>
      <c r="E17" s="40">
        <v>4300</v>
      </c>
      <c r="F17" s="37" t="s">
        <v>61</v>
      </c>
      <c r="G17" s="41">
        <v>600</v>
      </c>
      <c r="H17" s="37" t="s">
        <v>57</v>
      </c>
      <c r="I17" s="45">
        <f>(E17-C17)*G17</f>
        <v>180000</v>
      </c>
      <c r="J17" s="41" t="s">
        <v>39</v>
      </c>
    </row>
    <row r="18" spans="1:10" x14ac:dyDescent="0.25">
      <c r="A18" s="36"/>
      <c r="B18" s="36"/>
      <c r="C18" s="43" t="s">
        <v>146</v>
      </c>
      <c r="D18" s="36"/>
      <c r="E18" s="44"/>
      <c r="F18" s="36"/>
      <c r="G18" s="36"/>
      <c r="H18" s="36"/>
      <c r="I18" s="36"/>
      <c r="J18" s="36"/>
    </row>
    <row r="19" spans="1:10" x14ac:dyDescent="0.25">
      <c r="A19" s="36"/>
      <c r="B19" s="36"/>
      <c r="C19" s="43"/>
      <c r="D19" s="36"/>
      <c r="E19" s="44"/>
      <c r="F19" s="36"/>
      <c r="G19" s="36"/>
      <c r="H19" s="36"/>
      <c r="I19" s="36"/>
      <c r="J19" s="36"/>
    </row>
    <row r="20" spans="1:10" x14ac:dyDescent="0.25">
      <c r="A20" s="36" t="s">
        <v>148</v>
      </c>
      <c r="B20" s="37" t="s">
        <v>57</v>
      </c>
      <c r="C20" s="43" t="s">
        <v>149</v>
      </c>
      <c r="D20" s="39" t="s">
        <v>59</v>
      </c>
      <c r="E20" s="44" t="s">
        <v>150</v>
      </c>
      <c r="F20" s="37"/>
      <c r="G20" s="36"/>
      <c r="H20" s="36"/>
      <c r="I20" s="36"/>
      <c r="J20" s="36"/>
    </row>
    <row r="21" spans="1:10" x14ac:dyDescent="0.25">
      <c r="A21" s="36"/>
      <c r="B21" s="36"/>
      <c r="C21" s="38">
        <f>10*200*800</f>
        <v>1600000</v>
      </c>
      <c r="D21" s="39" t="s">
        <v>59</v>
      </c>
      <c r="E21" s="40">
        <v>1599000</v>
      </c>
      <c r="F21" s="36"/>
      <c r="G21" s="36"/>
      <c r="H21" s="36"/>
      <c r="I21" s="42">
        <f>C21-E21</f>
        <v>1000</v>
      </c>
      <c r="J21" s="36" t="s">
        <v>41</v>
      </c>
    </row>
    <row r="22" spans="1:10" x14ac:dyDescent="0.25">
      <c r="A22" s="36"/>
      <c r="B22" s="36"/>
      <c r="C22" s="43" t="s">
        <v>151</v>
      </c>
      <c r="D22" s="36"/>
      <c r="E22" s="44"/>
      <c r="F22" s="36"/>
      <c r="G22" s="36"/>
      <c r="H22" s="36"/>
      <c r="I22" s="36"/>
      <c r="J22" s="36"/>
    </row>
    <row r="23" spans="1:10" x14ac:dyDescent="0.25">
      <c r="A23" s="36"/>
      <c r="B23" s="36"/>
      <c r="C23" s="43"/>
      <c r="D23" s="36"/>
      <c r="E23" s="44"/>
      <c r="F23" s="36"/>
      <c r="G23" s="36"/>
      <c r="H23" s="36"/>
      <c r="I23" s="36"/>
      <c r="J23" s="36"/>
    </row>
    <row r="24" spans="1:10" x14ac:dyDescent="0.25">
      <c r="A24" s="36" t="s">
        <v>147</v>
      </c>
      <c r="B24" s="37" t="s">
        <v>57</v>
      </c>
      <c r="C24" s="43" t="s">
        <v>149</v>
      </c>
      <c r="D24" s="39" t="s">
        <v>59</v>
      </c>
      <c r="E24" s="44" t="s">
        <v>150</v>
      </c>
      <c r="F24" s="37"/>
      <c r="G24" s="36"/>
      <c r="H24" s="36"/>
      <c r="I24" s="36"/>
      <c r="J24" s="36"/>
    </row>
    <row r="25" spans="1:10" x14ac:dyDescent="0.25">
      <c r="A25" s="36"/>
      <c r="B25" s="36"/>
      <c r="C25" s="38">
        <f>5*600*800</f>
        <v>2400000</v>
      </c>
      <c r="D25" s="39" t="s">
        <v>59</v>
      </c>
      <c r="E25" s="40">
        <v>2365000</v>
      </c>
      <c r="F25" s="36"/>
      <c r="G25" s="36"/>
      <c r="H25" s="36"/>
      <c r="I25" s="45">
        <f>C25-E25</f>
        <v>35000</v>
      </c>
      <c r="J25" s="36" t="s">
        <v>41</v>
      </c>
    </row>
    <row r="26" spans="1:10" x14ac:dyDescent="0.25">
      <c r="A26" s="36"/>
      <c r="B26" s="36"/>
      <c r="C26" s="43" t="s">
        <v>152</v>
      </c>
      <c r="D26" s="36"/>
      <c r="E26" s="44"/>
      <c r="F26" s="36"/>
      <c r="G26" s="36"/>
      <c r="H26" s="36"/>
      <c r="I26" s="36"/>
      <c r="J26" s="36"/>
    </row>
    <row r="27" spans="1:10" x14ac:dyDescent="0.25">
      <c r="A27" s="36"/>
      <c r="B27" s="36"/>
      <c r="C27" s="43"/>
      <c r="D27" s="36"/>
      <c r="E27" s="44"/>
      <c r="F27" s="36"/>
      <c r="G27" s="36"/>
      <c r="H27" s="36"/>
      <c r="I27" s="36"/>
      <c r="J27" s="36"/>
    </row>
    <row r="28" spans="1:10" x14ac:dyDescent="0.25">
      <c r="A28" s="36" t="s">
        <v>56</v>
      </c>
      <c r="B28" s="37" t="s">
        <v>57</v>
      </c>
      <c r="C28" s="43" t="s">
        <v>153</v>
      </c>
      <c r="D28" s="39" t="s">
        <v>59</v>
      </c>
      <c r="E28" s="44" t="s">
        <v>60</v>
      </c>
      <c r="F28" s="37" t="s">
        <v>61</v>
      </c>
      <c r="G28" s="36" t="s">
        <v>62</v>
      </c>
      <c r="H28" s="36"/>
      <c r="I28" s="36"/>
      <c r="J28" s="36"/>
    </row>
    <row r="29" spans="1:10" x14ac:dyDescent="0.25">
      <c r="A29" s="36"/>
      <c r="B29" s="37" t="s">
        <v>57</v>
      </c>
      <c r="C29" s="38">
        <v>600</v>
      </c>
      <c r="D29" s="39" t="s">
        <v>59</v>
      </c>
      <c r="E29" s="40">
        <f>2415000/4200</f>
        <v>575</v>
      </c>
      <c r="F29" s="36"/>
      <c r="G29" s="41">
        <v>4200</v>
      </c>
      <c r="H29" s="36"/>
      <c r="I29" s="46">
        <f>(C29-E29)*G29</f>
        <v>105000</v>
      </c>
      <c r="J29" s="36" t="s">
        <v>41</v>
      </c>
    </row>
    <row r="30" spans="1:10" x14ac:dyDescent="0.25">
      <c r="A30" s="36"/>
      <c r="B30" s="36"/>
      <c r="C30" s="43"/>
      <c r="D30" s="36"/>
      <c r="E30" s="44" t="s">
        <v>154</v>
      </c>
      <c r="F30" s="36"/>
      <c r="G30" s="36"/>
      <c r="H30" s="36"/>
      <c r="I30" s="36"/>
      <c r="J30" s="36"/>
    </row>
    <row r="31" spans="1:10" x14ac:dyDescent="0.25">
      <c r="A31" s="36"/>
      <c r="B31" s="36"/>
      <c r="C31" s="43"/>
      <c r="D31" s="36"/>
      <c r="E31" s="44"/>
      <c r="F31" s="36"/>
      <c r="G31" s="36"/>
      <c r="H31" s="36"/>
      <c r="I31" s="36"/>
      <c r="J31" s="36"/>
    </row>
    <row r="32" spans="1:10" x14ac:dyDescent="0.25">
      <c r="A32" s="36" t="s">
        <v>64</v>
      </c>
      <c r="B32" s="37" t="s">
        <v>57</v>
      </c>
      <c r="C32" s="43" t="s">
        <v>155</v>
      </c>
      <c r="D32" s="39" t="s">
        <v>59</v>
      </c>
      <c r="E32" s="44" t="s">
        <v>66</v>
      </c>
      <c r="F32" s="37" t="s">
        <v>61</v>
      </c>
      <c r="G32" s="36" t="s">
        <v>153</v>
      </c>
      <c r="H32" s="36"/>
      <c r="I32" s="36"/>
      <c r="J32" s="36"/>
    </row>
    <row r="33" spans="1:13" x14ac:dyDescent="0.25">
      <c r="A33" s="36"/>
      <c r="B33" s="37" t="s">
        <v>57</v>
      </c>
      <c r="C33" s="38">
        <f>5*800</f>
        <v>4000</v>
      </c>
      <c r="D33" s="39" t="s">
        <v>59</v>
      </c>
      <c r="E33" s="40">
        <v>4200</v>
      </c>
      <c r="F33" s="36"/>
      <c r="G33" s="41">
        <v>600</v>
      </c>
      <c r="H33" s="36"/>
      <c r="I33" s="46">
        <f>(E33-C33)*G33</f>
        <v>120000</v>
      </c>
      <c r="J33" s="36" t="s">
        <v>39</v>
      </c>
    </row>
    <row r="34" spans="1:13" x14ac:dyDescent="0.25">
      <c r="A34" s="36"/>
      <c r="B34" s="36"/>
      <c r="C34" s="43" t="s">
        <v>156</v>
      </c>
      <c r="D34" s="36"/>
      <c r="E34" s="44"/>
      <c r="F34" s="36"/>
      <c r="G34" s="36"/>
      <c r="H34" s="36"/>
      <c r="I34" s="36"/>
      <c r="J34" s="36"/>
    </row>
    <row r="35" spans="1:13" x14ac:dyDescent="0.25">
      <c r="A35" s="36"/>
      <c r="B35" s="36"/>
      <c r="C35" s="43"/>
      <c r="D35" s="36"/>
      <c r="E35" s="44"/>
      <c r="F35" s="36"/>
      <c r="G35" s="36"/>
      <c r="H35" s="36"/>
      <c r="I35" s="36"/>
      <c r="J35" s="36"/>
    </row>
    <row r="36" spans="1:13" x14ac:dyDescent="0.25">
      <c r="A36" s="36" t="s">
        <v>157</v>
      </c>
      <c r="B36" s="37" t="s">
        <v>57</v>
      </c>
      <c r="C36" s="43" t="s">
        <v>149</v>
      </c>
      <c r="D36" s="39" t="s">
        <v>59</v>
      </c>
      <c r="E36" s="44" t="s">
        <v>150</v>
      </c>
      <c r="F36" s="37"/>
      <c r="G36" s="36"/>
      <c r="H36" s="36"/>
      <c r="I36" s="36"/>
      <c r="J36" s="36"/>
    </row>
    <row r="37" spans="1:13" x14ac:dyDescent="0.25">
      <c r="A37" s="36"/>
      <c r="B37" s="36"/>
      <c r="C37" s="38">
        <f>5*600*800</f>
        <v>2400000</v>
      </c>
      <c r="D37" s="39" t="s">
        <v>59</v>
      </c>
      <c r="E37" s="40">
        <v>2415000</v>
      </c>
      <c r="F37" s="36"/>
      <c r="G37" s="36"/>
      <c r="H37" s="36"/>
      <c r="I37" s="47">
        <f>E37-C37</f>
        <v>15000</v>
      </c>
      <c r="J37" s="36" t="s">
        <v>39</v>
      </c>
    </row>
    <row r="38" spans="1:13" x14ac:dyDescent="0.25">
      <c r="A38" s="36"/>
      <c r="B38" s="36"/>
      <c r="C38" s="43" t="s">
        <v>152</v>
      </c>
      <c r="D38" s="36"/>
      <c r="E38" s="44"/>
      <c r="F38" s="36"/>
      <c r="G38" s="36"/>
      <c r="H38" s="36"/>
      <c r="I38" s="36"/>
      <c r="J38" s="36"/>
    </row>
    <row r="39" spans="1:13" x14ac:dyDescent="0.25">
      <c r="A39" s="36"/>
      <c r="B39" s="36"/>
      <c r="C39" s="43"/>
      <c r="D39" s="36"/>
      <c r="E39" s="44"/>
      <c r="F39" s="36"/>
      <c r="G39" s="36"/>
      <c r="H39" s="36"/>
      <c r="I39" s="36"/>
      <c r="J39" s="36"/>
    </row>
    <row r="40" spans="1:13" x14ac:dyDescent="0.25">
      <c r="A40" s="108" t="s">
        <v>158</v>
      </c>
      <c r="B40" s="109" t="s">
        <v>57</v>
      </c>
      <c r="C40" s="110" t="s">
        <v>159</v>
      </c>
      <c r="D40" s="109" t="s">
        <v>59</v>
      </c>
      <c r="E40" s="111" t="s">
        <v>160</v>
      </c>
      <c r="F40" s="108"/>
      <c r="G40" s="108"/>
      <c r="H40" s="108"/>
      <c r="I40" s="108"/>
      <c r="J40" s="108"/>
      <c r="K40" s="112" t="s">
        <v>161</v>
      </c>
      <c r="L40" s="113" t="s">
        <v>57</v>
      </c>
      <c r="M40" s="114" t="s">
        <v>162</v>
      </c>
    </row>
    <row r="41" spans="1:13" x14ac:dyDescent="0.25">
      <c r="A41" s="108"/>
      <c r="B41" s="108"/>
      <c r="C41" s="115">
        <v>4500000</v>
      </c>
      <c r="D41" s="108"/>
      <c r="E41" s="116">
        <v>4700000</v>
      </c>
      <c r="F41" s="108"/>
      <c r="G41" s="108"/>
      <c r="H41" s="108"/>
      <c r="I41" s="117">
        <f>E41-C41</f>
        <v>200000</v>
      </c>
      <c r="J41" s="108" t="s">
        <v>39</v>
      </c>
      <c r="K41" s="112"/>
      <c r="L41" s="112"/>
      <c r="M41" s="112" t="s">
        <v>163</v>
      </c>
    </row>
    <row r="42" spans="1:13" x14ac:dyDescent="0.25">
      <c r="A42" s="108"/>
      <c r="B42" s="108"/>
      <c r="C42" s="110"/>
      <c r="D42" s="108"/>
      <c r="E42" s="111"/>
      <c r="F42" s="108"/>
      <c r="G42" s="108"/>
      <c r="H42" s="108"/>
      <c r="I42" s="108"/>
      <c r="J42" s="108"/>
      <c r="K42" s="118">
        <v>1000</v>
      </c>
      <c r="L42" s="113" t="s">
        <v>57</v>
      </c>
      <c r="M42" s="114" t="s">
        <v>165</v>
      </c>
    </row>
    <row r="43" spans="1:13" x14ac:dyDescent="0.25">
      <c r="A43" s="108" t="s">
        <v>167</v>
      </c>
      <c r="B43" s="109" t="s">
        <v>57</v>
      </c>
      <c r="C43" s="110" t="s">
        <v>168</v>
      </c>
      <c r="D43" s="119" t="s">
        <v>59</v>
      </c>
      <c r="E43" s="111" t="s">
        <v>169</v>
      </c>
      <c r="F43" s="109" t="s">
        <v>61</v>
      </c>
      <c r="G43" s="108" t="s">
        <v>170</v>
      </c>
      <c r="H43" s="108"/>
      <c r="I43" s="108"/>
      <c r="J43" s="108"/>
      <c r="K43" s="112" t="s">
        <v>164</v>
      </c>
      <c r="L43" s="112"/>
      <c r="M43" s="120" t="s">
        <v>166</v>
      </c>
    </row>
    <row r="44" spans="1:13" x14ac:dyDescent="0.25">
      <c r="A44" s="108"/>
      <c r="B44" s="109" t="s">
        <v>57</v>
      </c>
      <c r="C44" s="115">
        <v>900</v>
      </c>
      <c r="D44" s="119" t="s">
        <v>59</v>
      </c>
      <c r="E44" s="116">
        <v>800</v>
      </c>
      <c r="F44" s="108"/>
      <c r="G44" s="121">
        <v>5000</v>
      </c>
      <c r="H44" s="108"/>
      <c r="I44" s="117">
        <f>(C44-E44)*G44</f>
        <v>500000</v>
      </c>
      <c r="J44" s="108" t="s">
        <v>39</v>
      </c>
      <c r="K44" s="112"/>
      <c r="L44" s="112"/>
      <c r="M44" s="112"/>
    </row>
    <row r="45" spans="1:13" x14ac:dyDescent="0.25">
      <c r="A45" s="108"/>
      <c r="B45" s="108"/>
      <c r="C45" s="110"/>
      <c r="D45" s="108"/>
      <c r="E45" s="111"/>
      <c r="F45" s="108"/>
      <c r="G45" s="108"/>
      <c r="H45" s="108"/>
      <c r="I45" s="108"/>
      <c r="J45" s="108"/>
      <c r="K45" s="118">
        <v>1000</v>
      </c>
      <c r="L45" s="113" t="s">
        <v>57</v>
      </c>
      <c r="M45" s="122">
        <v>4500000</v>
      </c>
    </row>
    <row r="46" spans="1:13" x14ac:dyDescent="0.25">
      <c r="A46" s="108" t="s">
        <v>167</v>
      </c>
      <c r="B46" s="109" t="s">
        <v>57</v>
      </c>
      <c r="C46" s="110" t="s">
        <v>171</v>
      </c>
      <c r="D46" s="119" t="s">
        <v>59</v>
      </c>
      <c r="E46" s="111" t="s">
        <v>155</v>
      </c>
      <c r="F46" s="109" t="s">
        <v>61</v>
      </c>
      <c r="G46" s="108" t="s">
        <v>172</v>
      </c>
      <c r="H46" s="108"/>
      <c r="I46" s="108"/>
      <c r="J46" s="108"/>
      <c r="K46" s="112" t="s">
        <v>164</v>
      </c>
      <c r="L46" s="112"/>
      <c r="M46" s="123">
        <v>4500</v>
      </c>
    </row>
    <row r="47" spans="1:13" x14ac:dyDescent="0.25">
      <c r="A47" s="108"/>
      <c r="B47" s="109" t="s">
        <v>57</v>
      </c>
      <c r="C47" s="115">
        <f>900*5</f>
        <v>4500</v>
      </c>
      <c r="D47" s="119" t="s">
        <v>59</v>
      </c>
      <c r="E47" s="116">
        <f>800*5</f>
        <v>4000</v>
      </c>
      <c r="F47" s="109" t="s">
        <v>61</v>
      </c>
      <c r="G47" s="121">
        <v>1000</v>
      </c>
      <c r="H47" s="108"/>
      <c r="I47" s="117">
        <f>(C47-E47)*G47</f>
        <v>500000</v>
      </c>
      <c r="J47" s="108" t="s">
        <v>39</v>
      </c>
      <c r="K47" s="112"/>
      <c r="L47" s="112"/>
      <c r="M47" s="112"/>
    </row>
    <row r="48" spans="1:13" x14ac:dyDescent="0.25">
      <c r="A48" s="108"/>
      <c r="B48" s="108"/>
      <c r="C48" s="110" t="s">
        <v>173</v>
      </c>
      <c r="D48" s="108"/>
      <c r="E48" s="111" t="s">
        <v>146</v>
      </c>
      <c r="F48" s="108"/>
      <c r="G48" s="108"/>
      <c r="H48" s="108"/>
      <c r="I48" s="108"/>
      <c r="J48" s="108"/>
      <c r="K48" s="112"/>
      <c r="L48" s="112"/>
      <c r="M48" s="112"/>
    </row>
    <row r="49" spans="1:13" x14ac:dyDescent="0.25">
      <c r="A49" s="108"/>
      <c r="B49" s="108"/>
      <c r="C49" s="110"/>
      <c r="D49" s="108"/>
      <c r="E49" s="111"/>
      <c r="F49" s="108"/>
      <c r="G49" s="108"/>
      <c r="H49" s="108"/>
      <c r="I49" s="108"/>
      <c r="J49" s="108"/>
      <c r="K49" s="112"/>
      <c r="L49" s="112"/>
      <c r="M49" s="112"/>
    </row>
    <row r="50" spans="1:13" x14ac:dyDescent="0.25">
      <c r="A50" s="108" t="s">
        <v>174</v>
      </c>
      <c r="B50" s="109" t="s">
        <v>57</v>
      </c>
      <c r="C50" s="110" t="s">
        <v>171</v>
      </c>
      <c r="D50" s="119" t="s">
        <v>59</v>
      </c>
      <c r="E50" s="111" t="s">
        <v>66</v>
      </c>
      <c r="F50" s="109" t="s">
        <v>61</v>
      </c>
      <c r="G50" s="108" t="s">
        <v>172</v>
      </c>
      <c r="H50" s="108"/>
      <c r="I50" s="108"/>
      <c r="J50" s="108"/>
      <c r="K50" s="112"/>
      <c r="L50" s="112"/>
      <c r="M50" s="112"/>
    </row>
    <row r="51" spans="1:13" x14ac:dyDescent="0.25">
      <c r="A51" s="108"/>
      <c r="B51" s="109" t="s">
        <v>57</v>
      </c>
      <c r="C51" s="115">
        <f>900*5</f>
        <v>4500</v>
      </c>
      <c r="D51" s="119" t="s">
        <v>59</v>
      </c>
      <c r="E51" s="116">
        <v>4200</v>
      </c>
      <c r="F51" s="109" t="s">
        <v>61</v>
      </c>
      <c r="G51" s="121">
        <v>1000</v>
      </c>
      <c r="H51" s="108"/>
      <c r="I51" s="117">
        <f>(C51-E51)*G51</f>
        <v>300000</v>
      </c>
      <c r="J51" s="108" t="s">
        <v>39</v>
      </c>
      <c r="K51" s="112"/>
      <c r="L51" s="112"/>
      <c r="M51" s="112"/>
    </row>
    <row r="52" spans="1:13" x14ac:dyDescent="0.25">
      <c r="A52" s="108"/>
      <c r="B52" s="108"/>
      <c r="C52" s="110" t="s">
        <v>173</v>
      </c>
      <c r="D52" s="108"/>
      <c r="E52" s="111"/>
      <c r="F52" s="108"/>
      <c r="G52" s="108"/>
      <c r="H52" s="108"/>
      <c r="I52" s="108"/>
      <c r="J52" s="108"/>
      <c r="K52" s="112"/>
      <c r="L52" s="112"/>
      <c r="M52" s="112"/>
    </row>
    <row r="53" spans="1:13" x14ac:dyDescent="0.25">
      <c r="A53" s="108"/>
      <c r="B53" s="108"/>
      <c r="C53" s="110"/>
      <c r="D53" s="108"/>
      <c r="E53" s="111"/>
      <c r="F53" s="108"/>
      <c r="G53" s="108"/>
      <c r="H53" s="108"/>
      <c r="I53" s="108"/>
      <c r="J53" s="108"/>
      <c r="K53" s="112"/>
      <c r="L53" s="112"/>
      <c r="M53" s="112"/>
    </row>
    <row r="54" spans="1:13" x14ac:dyDescent="0.25">
      <c r="A54" s="108" t="s">
        <v>175</v>
      </c>
      <c r="B54" s="109" t="s">
        <v>57</v>
      </c>
      <c r="C54" s="110" t="s">
        <v>155</v>
      </c>
      <c r="D54" s="119" t="s">
        <v>59</v>
      </c>
      <c r="E54" s="111" t="s">
        <v>66</v>
      </c>
      <c r="F54" s="109" t="s">
        <v>61</v>
      </c>
      <c r="G54" s="108" t="s">
        <v>172</v>
      </c>
      <c r="H54" s="108"/>
      <c r="I54" s="108"/>
      <c r="J54" s="108"/>
      <c r="K54" s="112"/>
      <c r="L54" s="112"/>
      <c r="M54" s="112"/>
    </row>
    <row r="55" spans="1:13" x14ac:dyDescent="0.25">
      <c r="A55" s="108"/>
      <c r="B55" s="109" t="s">
        <v>57</v>
      </c>
      <c r="C55" s="115">
        <f>800*5</f>
        <v>4000</v>
      </c>
      <c r="D55" s="119" t="s">
        <v>59</v>
      </c>
      <c r="E55" s="116">
        <v>4200</v>
      </c>
      <c r="F55" s="109" t="s">
        <v>61</v>
      </c>
      <c r="G55" s="121">
        <v>1000</v>
      </c>
      <c r="H55" s="108"/>
      <c r="I55" s="117">
        <f>(E55-C55)*G55</f>
        <v>200000</v>
      </c>
      <c r="J55" s="108" t="s">
        <v>39</v>
      </c>
      <c r="K55" s="112"/>
      <c r="L55" s="112"/>
      <c r="M55" s="112"/>
    </row>
    <row r="56" spans="1:13" x14ac:dyDescent="0.25">
      <c r="A56" s="108"/>
      <c r="B56" s="108"/>
      <c r="C56" s="110" t="s">
        <v>146</v>
      </c>
      <c r="D56" s="108"/>
      <c r="E56" s="111"/>
      <c r="F56" s="108"/>
      <c r="G56" s="108"/>
      <c r="H56" s="108"/>
      <c r="I56" s="108"/>
      <c r="J56" s="108"/>
      <c r="K56" s="112"/>
      <c r="L56" s="112"/>
      <c r="M56" s="112"/>
    </row>
    <row r="57" spans="1:13" ht="15.75" thickBot="1" x14ac:dyDescent="0.3">
      <c r="A57" s="48"/>
      <c r="B57" s="48"/>
      <c r="C57" s="48"/>
      <c r="D57" s="48"/>
      <c r="E57" s="48"/>
      <c r="F57" s="48"/>
      <c r="G57" s="48"/>
      <c r="H57" s="48"/>
      <c r="I57" s="48"/>
      <c r="J57" s="48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3D5235BD8196459094D911B8306954" ma:contentTypeVersion="2" ma:contentTypeDescription="Create a new document." ma:contentTypeScope="" ma:versionID="7d3f95f98ad69006f1fda5377d559899">
  <xsd:schema xmlns:xsd="http://www.w3.org/2001/XMLSchema" xmlns:xs="http://www.w3.org/2001/XMLSchema" xmlns:p="http://schemas.microsoft.com/office/2006/metadata/properties" xmlns:ns2="20b2cda8-5da6-421f-9652-695d07a12471" targetNamespace="http://schemas.microsoft.com/office/2006/metadata/properties" ma:root="true" ma:fieldsID="68730a6f03420a00453edfbfef690766" ns2:_="">
    <xsd:import namespace="20b2cda8-5da6-421f-9652-695d07a124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b2cda8-5da6-421f-9652-695d07a124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D33415-04AF-41BD-AA91-F75FC84B9C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0086CB-A6F5-4F68-AF15-7CE070D175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b2cda8-5da6-421f-9652-695d07a124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A2B05C-CE0A-4C2E-90F4-25E702ECF72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Sheet1</vt:lpstr>
      <vt:lpstr>E1</vt:lpstr>
      <vt:lpstr>E2</vt:lpstr>
      <vt:lpstr>E3</vt:lpstr>
      <vt:lpstr>E4</vt:lpstr>
      <vt:lpstr>E5</vt:lpstr>
      <vt:lpstr>E6</vt:lpstr>
      <vt:lpstr>E7</vt:lpstr>
      <vt:lpstr>E8</vt:lpstr>
      <vt:lpstr>E9</vt:lpstr>
      <vt:lpstr>E11</vt:lpstr>
      <vt:lpstr>E12</vt:lpstr>
      <vt:lpstr>E13</vt:lpstr>
      <vt:lpstr>E14</vt:lpstr>
      <vt:lpstr>E15</vt:lpstr>
      <vt:lpstr>E16</vt:lpstr>
      <vt:lpstr>E18</vt:lpstr>
      <vt:lpstr>E19</vt:lpstr>
      <vt:lpstr>E21</vt:lpstr>
      <vt:lpstr>Q1</vt:lpstr>
      <vt:lpstr>Jul 21</vt:lpstr>
      <vt:lpstr>Q2</vt:lpstr>
      <vt:lpstr>Q4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2022-07-18T07:53:40Z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0x0101009F3D5235BD8196459094D911B8306954</vt:lpwstr>
  </property>
</Properties>
</file>