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TAX\Set 06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6" l="1"/>
  <c r="D54" i="6" s="1"/>
  <c r="D52" i="6"/>
  <c r="D49" i="6"/>
  <c r="D47" i="6"/>
  <c r="B47" i="6"/>
  <c r="D45" i="6"/>
  <c r="B45" i="6"/>
  <c r="D42" i="6"/>
  <c r="B42" i="6"/>
  <c r="B37" i="6"/>
  <c r="D39" i="6"/>
  <c r="D36" i="6"/>
  <c r="D33" i="6"/>
  <c r="D32" i="6"/>
  <c r="D28" i="6"/>
  <c r="B28" i="6"/>
  <c r="B26" i="6"/>
  <c r="D21" i="6"/>
  <c r="D18" i="6"/>
  <c r="D8" i="6"/>
  <c r="D9" i="6"/>
  <c r="D11" i="6"/>
  <c r="D12" i="6"/>
  <c r="D13" i="6"/>
  <c r="D14" i="6"/>
  <c r="D15" i="6"/>
  <c r="D7" i="6"/>
  <c r="B16" i="6"/>
  <c r="B10" i="6"/>
  <c r="D10" i="6" s="1"/>
  <c r="B9" i="6"/>
  <c r="D26" i="5"/>
  <c r="D24" i="5"/>
  <c r="D22" i="5"/>
  <c r="D21" i="5"/>
  <c r="D20" i="5"/>
  <c r="D19" i="5"/>
  <c r="D18" i="5"/>
  <c r="D17" i="5"/>
  <c r="D16" i="5"/>
  <c r="C22" i="5"/>
  <c r="C21" i="5"/>
  <c r="C18" i="5"/>
  <c r="C19" i="5"/>
  <c r="C20" i="5"/>
  <c r="C17" i="5"/>
  <c r="D72" i="5"/>
  <c r="D73" i="5"/>
  <c r="D74" i="5"/>
  <c r="D71" i="5"/>
  <c r="C75" i="5"/>
  <c r="D10" i="5"/>
  <c r="D6" i="5"/>
  <c r="D124" i="5"/>
  <c r="C67" i="5"/>
  <c r="D105" i="5"/>
  <c r="D103" i="5"/>
  <c r="D90" i="5"/>
  <c r="D92" i="5"/>
  <c r="D93" i="5"/>
  <c r="D94" i="5"/>
  <c r="D95" i="5"/>
  <c r="D89" i="5"/>
  <c r="D15" i="5"/>
  <c r="C15" i="5"/>
  <c r="D123" i="5"/>
  <c r="D122" i="5"/>
  <c r="D139" i="5"/>
  <c r="D140" i="5"/>
  <c r="D130" i="5"/>
  <c r="D132" i="5"/>
  <c r="D83" i="5"/>
  <c r="D84" i="5" s="1"/>
  <c r="C37" i="5" s="1"/>
  <c r="C10" i="5"/>
  <c r="C16" i="5"/>
  <c r="C13" i="4"/>
  <c r="C11" i="4"/>
  <c r="C10" i="4"/>
  <c r="C22" i="4"/>
  <c r="C8" i="4" s="1"/>
  <c r="C24" i="3"/>
  <c r="C7" i="3" s="1"/>
  <c r="C21" i="3"/>
  <c r="E12" i="2"/>
  <c r="E10" i="2"/>
  <c r="E8" i="2"/>
  <c r="E5" i="2"/>
  <c r="D96" i="5" l="1"/>
  <c r="D62" i="5" s="1"/>
  <c r="D67" i="5" s="1"/>
  <c r="C68" i="5" s="1"/>
  <c r="D4" i="5" s="1"/>
  <c r="D8" i="5" s="1"/>
  <c r="D11" i="5" s="1"/>
</calcChain>
</file>

<file path=xl/sharedStrings.xml><?xml version="1.0" encoding="utf-8"?>
<sst xmlns="http://schemas.openxmlformats.org/spreadsheetml/2006/main" count="218" uniqueCount="191">
  <si>
    <t>R&amp;D Expenses</t>
  </si>
  <si>
    <t>Rs. (Mn)</t>
  </si>
  <si>
    <t>(+)</t>
  </si>
  <si>
    <t>(-)</t>
  </si>
  <si>
    <t>Profit before tax</t>
  </si>
  <si>
    <t>R&amp;D Expenses - deductible under s. 15</t>
  </si>
  <si>
    <t>Addl 100% deduction unded 6th schedule</t>
  </si>
  <si>
    <t>R&amp;D plant, equipment and tools - s. 15</t>
  </si>
  <si>
    <t>SALE OF SHARES BY SAMAN</t>
  </si>
  <si>
    <t>Calculation of Capital Gain</t>
  </si>
  <si>
    <t>Consideration</t>
  </si>
  <si>
    <t>Per share value</t>
  </si>
  <si>
    <t>No. of shares (Mn)</t>
  </si>
  <si>
    <t>Total (Rs. Mn)</t>
  </si>
  <si>
    <t>Less:</t>
  </si>
  <si>
    <t>Cost</t>
  </si>
  <si>
    <t>deemed as Market value as at 30th September 2017</t>
  </si>
  <si>
    <t>Gain</t>
  </si>
  <si>
    <t>Tax payable @ 10%</t>
  </si>
  <si>
    <t>Tax implications on the Friegn intitutional investor</t>
  </si>
  <si>
    <t>1. on issue/transfer of shares</t>
  </si>
  <si>
    <t>No tax</t>
  </si>
  <si>
    <t>2. on dividend income</t>
  </si>
  <si>
    <t>No income tax - exemption given to non-resident shareholders. (3rd schedule)</t>
  </si>
  <si>
    <t>IMPROVEMENTS</t>
  </si>
  <si>
    <t>Assume</t>
  </si>
  <si>
    <t>Machine 1</t>
  </si>
  <si>
    <t>31.03.2022</t>
  </si>
  <si>
    <t>31.03.2021</t>
  </si>
  <si>
    <t>Tax W.D.V. (Rs. Mn)</t>
  </si>
  <si>
    <t>During the year - additional improvements to machine 1 - charged to P&amp;L</t>
  </si>
  <si>
    <t>Improvements - max deductible upto 20% of W.D.V. of the previous year</t>
  </si>
  <si>
    <t>Tax W.D.V of previous year</t>
  </si>
  <si>
    <t>Maximum deductible</t>
  </si>
  <si>
    <t>Actual imrovement cost</t>
  </si>
  <si>
    <t>disllowed</t>
  </si>
  <si>
    <t>Imrpovements - disallowed</t>
  </si>
  <si>
    <t>FINANCE COST</t>
  </si>
  <si>
    <t>Assumed : total finance cost satisfies section 12</t>
  </si>
  <si>
    <t>Finance cost</t>
  </si>
  <si>
    <t>Rs. Mn</t>
  </si>
  <si>
    <t>Finance cost (A)</t>
  </si>
  <si>
    <t>value of financial instruments on which the financial cost incurred during the year (B)</t>
  </si>
  <si>
    <t>Note 1</t>
  </si>
  <si>
    <t>Loans and borrowings - Non current</t>
  </si>
  <si>
    <t>Loans and borrowings - Current</t>
  </si>
  <si>
    <t>Bank Overdraft</t>
  </si>
  <si>
    <t>total of the issued share capital and reserves of the company as at the end of the year</t>
  </si>
  <si>
    <t xml:space="preserve"> 'X 4 = (C)</t>
  </si>
  <si>
    <t>A/B * C (maximum finance cost deductible)</t>
  </si>
  <si>
    <t>Actual finance cost</t>
  </si>
  <si>
    <t>Disallowed</t>
  </si>
  <si>
    <t>PINNACLE PLC</t>
  </si>
  <si>
    <t>Income tax computation for the year of assessment 2021/22</t>
  </si>
  <si>
    <t>BUSINESS INCOME</t>
  </si>
  <si>
    <t>INVESTMENT INCOME</t>
  </si>
  <si>
    <t>Note 2</t>
  </si>
  <si>
    <t>ASSESSABLE INCOME</t>
  </si>
  <si>
    <t>Less: Qualifying payments</t>
  </si>
  <si>
    <t>TAXABLE INCOME</t>
  </si>
  <si>
    <t>Income tax liability</t>
  </si>
  <si>
    <t>Less: Tax credits</t>
  </si>
  <si>
    <t>Balance tax payable</t>
  </si>
  <si>
    <t>NOTE 1 : BUSINESS INCOME</t>
  </si>
  <si>
    <t>Rs. '000</t>
  </si>
  <si>
    <t>On exports</t>
  </si>
  <si>
    <t>14%</t>
  </si>
  <si>
    <t>On renewable energy</t>
  </si>
  <si>
    <t>Local sales - manufacturing</t>
  </si>
  <si>
    <t>18%</t>
  </si>
  <si>
    <t>Service income</t>
  </si>
  <si>
    <t>24%</t>
  </si>
  <si>
    <t>Profit on sale of PPE</t>
  </si>
  <si>
    <t>Gain on realisation of QPC shares</t>
  </si>
  <si>
    <t>Exempt</t>
  </si>
  <si>
    <t>Gain on disposal of small - investment income</t>
  </si>
  <si>
    <t>NOTE 2 : INVESTMENT INCOME</t>
  </si>
  <si>
    <t>Gain on disposal of Small</t>
  </si>
  <si>
    <t>Considered as investment income</t>
  </si>
  <si>
    <t>Divident income</t>
  </si>
  <si>
    <t>Dividend income</t>
  </si>
  <si>
    <t>Rent income</t>
  </si>
  <si>
    <t>Interest from FD</t>
  </si>
  <si>
    <t>Interest from TB</t>
  </si>
  <si>
    <t>Compensation from land reclamation</t>
  </si>
  <si>
    <t>Interest from land reclamation</t>
  </si>
  <si>
    <t>Entertainment expenses</t>
  </si>
  <si>
    <t>Donations and Gifts</t>
  </si>
  <si>
    <t>Fines &amp; Penalties</t>
  </si>
  <si>
    <t>Provision for gratuity</t>
  </si>
  <si>
    <t>Gratuity paid</t>
  </si>
  <si>
    <t>Depreciation</t>
  </si>
  <si>
    <t>Amortisation</t>
  </si>
  <si>
    <t>Provision for impairment</t>
  </si>
  <si>
    <t>Provision for possible drop in value</t>
  </si>
  <si>
    <t>Donation to Ministry of Education</t>
  </si>
  <si>
    <t>Note 1.1.</t>
  </si>
  <si>
    <t>Note 1.1. Sale of Motor vehicles</t>
  </si>
  <si>
    <t>Less: Tax.W.D.V.</t>
  </si>
  <si>
    <t>Capital allowances claimed</t>
  </si>
  <si>
    <t>Gain on disposal</t>
  </si>
  <si>
    <t>Sale proceed -Van</t>
  </si>
  <si>
    <t>Tax profit on disposal</t>
  </si>
  <si>
    <t xml:space="preserve">Disposal of car - excluded </t>
  </si>
  <si>
    <t>Note 2.1</t>
  </si>
  <si>
    <t xml:space="preserve">NOTE 2.1 Gain on disposal of Small </t>
  </si>
  <si>
    <t>Less: cost</t>
  </si>
  <si>
    <t>Rent income - building not used for business</t>
  </si>
  <si>
    <t>Gain on disposal of RDA acquired land</t>
  </si>
  <si>
    <t>interest thereon</t>
  </si>
  <si>
    <t>Note 2.2.</t>
  </si>
  <si>
    <t>Note 2.2 Gain on acquisition of land</t>
  </si>
  <si>
    <t>Less: Cost</t>
  </si>
  <si>
    <t>Market value as at 30th Sep 2017</t>
  </si>
  <si>
    <t>Capital Gain</t>
  </si>
  <si>
    <t>10%</t>
  </si>
  <si>
    <t xml:space="preserve">Sundry income -business income </t>
  </si>
  <si>
    <t>Staff cost - PAYE not deducted</t>
  </si>
  <si>
    <t>Capital Allowances</t>
  </si>
  <si>
    <t>Note 1.3</t>
  </si>
  <si>
    <t>Note 1.3. Capital Allowances</t>
  </si>
  <si>
    <t>no. of Years</t>
  </si>
  <si>
    <t xml:space="preserve">Cost </t>
  </si>
  <si>
    <t>Capital allowance</t>
  </si>
  <si>
    <t>Machinery</t>
  </si>
  <si>
    <t>Forklifts</t>
  </si>
  <si>
    <t>Motor cars - N//A</t>
  </si>
  <si>
    <t>Buildings</t>
  </si>
  <si>
    <t>Office equipment</t>
  </si>
  <si>
    <t>Computers - lease</t>
  </si>
  <si>
    <t>Computer software</t>
  </si>
  <si>
    <t>SA payments</t>
  </si>
  <si>
    <t>Note 1.2</t>
  </si>
  <si>
    <t>Note 1.3.</t>
  </si>
  <si>
    <t>Finance lease interest - forklift</t>
  </si>
  <si>
    <t>Finance lease interest - computers</t>
  </si>
  <si>
    <t>Finance cost (other than finance lease interest)</t>
  </si>
  <si>
    <t>Outstanding loan balances</t>
  </si>
  <si>
    <t>Stated capital+ reserves</t>
  </si>
  <si>
    <t>x 4 times</t>
  </si>
  <si>
    <t>Max. finance cost deductible</t>
  </si>
  <si>
    <t>Amount disallowed</t>
  </si>
  <si>
    <t>Assessable income from business</t>
  </si>
  <si>
    <t>ASSESSABLE INCOME FROM INVESTMENT</t>
  </si>
  <si>
    <t>Apportioning of profit</t>
  </si>
  <si>
    <t>On manufacturing</t>
  </si>
  <si>
    <t>On service income</t>
  </si>
  <si>
    <t>On investment income</t>
  </si>
  <si>
    <t>FIT WEAR (PVT) LTD</t>
  </si>
  <si>
    <t>VALUE ADDED TAX COMPUTATION FOR QUARTER ENDING 30TH September 2021</t>
  </si>
  <si>
    <t>OUTPUT VAT</t>
  </si>
  <si>
    <t>INPUT VAT</t>
  </si>
  <si>
    <t>Rate</t>
  </si>
  <si>
    <t>Liable supplies</t>
  </si>
  <si>
    <t>Suspended supplies</t>
  </si>
  <si>
    <t>Exempt supplies</t>
  </si>
  <si>
    <t>Export of manufactured garments</t>
  </si>
  <si>
    <t>Value of supply Rs. '000</t>
  </si>
  <si>
    <t>VAT Rs. '000</t>
  </si>
  <si>
    <t>Zero rated supplies</t>
  </si>
  <si>
    <t>SVAT supplies</t>
  </si>
  <si>
    <t>Government incstitutions</t>
  </si>
  <si>
    <t>To diplomatic missions</t>
  </si>
  <si>
    <t>-</t>
  </si>
  <si>
    <t>Local customers - VAT registered</t>
  </si>
  <si>
    <t xml:space="preserve">Local customers - non VAT </t>
  </si>
  <si>
    <t>Scrap sale</t>
  </si>
  <si>
    <t>Sale of motor lorries</t>
  </si>
  <si>
    <t>Building rent</t>
  </si>
  <si>
    <t>Management fee</t>
  </si>
  <si>
    <t>Technical fee</t>
  </si>
  <si>
    <t>Supply of services reimbursed</t>
  </si>
  <si>
    <t>TOTAL SUPPLIES</t>
  </si>
  <si>
    <t>TOTAL OUTPUT VAT</t>
  </si>
  <si>
    <t>On deferment</t>
  </si>
  <si>
    <t>Up front</t>
  </si>
  <si>
    <t>On imports</t>
  </si>
  <si>
    <t>Local purchases</t>
  </si>
  <si>
    <t>SVAT</t>
  </si>
  <si>
    <t>Tax invoices</t>
  </si>
  <si>
    <t>Other expenses</t>
  </si>
  <si>
    <t>TOTAL INPUT VAT</t>
  </si>
  <si>
    <t>Less: disallowed input VAT</t>
  </si>
  <si>
    <t>Relting to exempt supplies</t>
  </si>
  <si>
    <t>Relating to liable supplies - deducitble upto 100%</t>
  </si>
  <si>
    <t>dedutible without restriction</t>
  </si>
  <si>
    <t>VAT payable/refund due</t>
  </si>
  <si>
    <t>Less: Tax credit</t>
  </si>
  <si>
    <t>SVAT credit vouchers</t>
  </si>
  <si>
    <t>Balance VAT payable</t>
  </si>
  <si>
    <t>Payable to Customs on deferment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</si>
</sst>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rgb="FFFF0000"/>
      <name val="Trebuchet MS"/>
      <family val="2"/>
    </font>
    <font>
      <u/>
      <sz val="12"/>
      <color theme="1"/>
      <name val="Trebuchet MS"/>
      <family val="2"/>
    </font>
    <font>
      <i/>
      <u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0" fillId="2" borderId="0" xfId="1" applyFont="1" applyFill="1"/>
    <xf numFmtId="0" fontId="0" fillId="0" borderId="0" xfId="0" applyAlignment="1">
      <alignment horizontal="center"/>
    </xf>
    <xf numFmtId="43" fontId="0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9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2" fillId="0" borderId="1" xfId="1" applyNumberFormat="1" applyFont="1" applyBorder="1"/>
    <xf numFmtId="43" fontId="0" fillId="0" borderId="0" xfId="1" applyNumberFormat="1" applyFont="1"/>
    <xf numFmtId="0" fontId="3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quotePrefix="1"/>
    <xf numFmtId="0" fontId="4" fillId="0" borderId="0" xfId="0" applyFont="1"/>
    <xf numFmtId="0" fontId="5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0" fontId="0" fillId="0" borderId="0" xfId="0" applyFont="1"/>
    <xf numFmtId="164" fontId="1" fillId="0" borderId="0" xfId="1" applyNumberFormat="1" applyFont="1"/>
    <xf numFmtId="164" fontId="1" fillId="0" borderId="0" xfId="1" applyNumberFormat="1" applyFont="1" applyBorder="1"/>
    <xf numFmtId="0" fontId="0" fillId="0" borderId="0" xfId="0" quotePrefix="1" applyFont="1"/>
    <xf numFmtId="164" fontId="2" fillId="0" borderId="2" xfId="1" applyNumberFormat="1" applyFont="1" applyBorder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647699</xdr:colOff>
      <xdr:row>16</xdr:row>
      <xdr:rowOff>80596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285749</xdr:colOff>
      <xdr:row>14</xdr:row>
      <xdr:rowOff>80596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647699</xdr:colOff>
      <xdr:row>16</xdr:row>
      <xdr:rowOff>80596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</xdr:colOff>
      <xdr:row>14</xdr:row>
      <xdr:rowOff>80596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457199</xdr:colOff>
      <xdr:row>16</xdr:row>
      <xdr:rowOff>61546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38099</xdr:colOff>
      <xdr:row>15</xdr:row>
      <xdr:rowOff>80596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34" sqref="C34"/>
    </sheetView>
  </sheetViews>
  <sheetFormatPr defaultRowHeight="18" x14ac:dyDescent="0.35"/>
  <cols>
    <col min="1" max="1" width="43.25" customWidth="1"/>
    <col min="3" max="4" width="20.125" style="1" customWidth="1"/>
  </cols>
  <sheetData>
    <row r="1" spans="1:4" x14ac:dyDescent="0.35">
      <c r="A1" t="s">
        <v>0</v>
      </c>
    </row>
    <row r="2" spans="1:4" x14ac:dyDescent="0.35">
      <c r="C2" s="2" t="s">
        <v>1</v>
      </c>
      <c r="D2" s="2" t="s">
        <v>1</v>
      </c>
    </row>
    <row r="3" spans="1:4" x14ac:dyDescent="0.35">
      <c r="C3" s="2" t="s">
        <v>2</v>
      </c>
      <c r="D3" s="2" t="s">
        <v>3</v>
      </c>
    </row>
    <row r="5" spans="1:4" x14ac:dyDescent="0.35">
      <c r="A5" t="s">
        <v>4</v>
      </c>
      <c r="C5" s="1">
        <v>369</v>
      </c>
    </row>
    <row r="7" spans="1:4" x14ac:dyDescent="0.35">
      <c r="A7" t="s">
        <v>5</v>
      </c>
      <c r="C7" s="1">
        <v>0</v>
      </c>
    </row>
    <row r="8" spans="1:4" x14ac:dyDescent="0.35">
      <c r="A8" t="s">
        <v>6</v>
      </c>
      <c r="D8" s="1">
        <v>151</v>
      </c>
    </row>
    <row r="9" spans="1:4" x14ac:dyDescent="0.35">
      <c r="A9" t="s">
        <v>7</v>
      </c>
      <c r="D9" s="3">
        <v>50</v>
      </c>
    </row>
    <row r="10" spans="1:4" x14ac:dyDescent="0.35">
      <c r="A10" t="s">
        <v>6</v>
      </c>
      <c r="D10" s="1">
        <v>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048576"/>
    </sheetView>
  </sheetViews>
  <sheetFormatPr defaultRowHeight="18" x14ac:dyDescent="0.35"/>
  <cols>
    <col min="1" max="1" width="29.375" customWidth="1"/>
    <col min="2" max="2" width="17" style="1" customWidth="1"/>
    <col min="3" max="3" width="11" customWidth="1"/>
    <col min="4" max="4" width="3.125" customWidth="1"/>
    <col min="5" max="5" width="9.75" bestFit="1" customWidth="1"/>
  </cols>
  <sheetData>
    <row r="1" spans="1:5" x14ac:dyDescent="0.35">
      <c r="A1" t="s">
        <v>8</v>
      </c>
    </row>
    <row r="3" spans="1:5" x14ac:dyDescent="0.35">
      <c r="A3" t="s">
        <v>9</v>
      </c>
    </row>
    <row r="4" spans="1:5" ht="36" x14ac:dyDescent="0.35">
      <c r="B4" s="5" t="s">
        <v>11</v>
      </c>
      <c r="C4" s="6" t="s">
        <v>12</v>
      </c>
      <c r="E4" s="6" t="s">
        <v>13</v>
      </c>
    </row>
    <row r="5" spans="1:5" x14ac:dyDescent="0.35">
      <c r="A5" t="s">
        <v>10</v>
      </c>
      <c r="B5" s="1">
        <v>50</v>
      </c>
      <c r="C5">
        <v>20</v>
      </c>
      <c r="E5" s="8">
        <f>B5*C5</f>
        <v>1000</v>
      </c>
    </row>
    <row r="6" spans="1:5" x14ac:dyDescent="0.35">
      <c r="A6" t="s">
        <v>14</v>
      </c>
    </row>
    <row r="7" spans="1:5" x14ac:dyDescent="0.35">
      <c r="A7" t="s">
        <v>15</v>
      </c>
    </row>
    <row r="8" spans="1:5" ht="36" x14ac:dyDescent="0.35">
      <c r="A8" s="7" t="s">
        <v>16</v>
      </c>
      <c r="B8" s="1">
        <v>37</v>
      </c>
      <c r="C8">
        <v>20</v>
      </c>
      <c r="E8" s="8">
        <f>-B8*C8</f>
        <v>-740</v>
      </c>
    </row>
    <row r="10" spans="1:5" x14ac:dyDescent="0.35">
      <c r="A10" t="s">
        <v>17</v>
      </c>
      <c r="E10" s="8">
        <f>SUM(E5:E9)</f>
        <v>260</v>
      </c>
    </row>
    <row r="12" spans="1:5" x14ac:dyDescent="0.35">
      <c r="A12" t="s">
        <v>18</v>
      </c>
      <c r="E12" s="8">
        <f>E10*10%</f>
        <v>26</v>
      </c>
    </row>
    <row r="16" spans="1:5" x14ac:dyDescent="0.35">
      <c r="A16" t="s">
        <v>19</v>
      </c>
    </row>
    <row r="18" spans="1:2" x14ac:dyDescent="0.35">
      <c r="A18" t="s">
        <v>20</v>
      </c>
      <c r="B18" s="1" t="s">
        <v>21</v>
      </c>
    </row>
    <row r="19" spans="1:2" x14ac:dyDescent="0.35">
      <c r="A19" t="s">
        <v>22</v>
      </c>
      <c r="B19" s="1" t="s">
        <v>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XFD1048576"/>
    </sheetView>
  </sheetViews>
  <sheetFormatPr defaultRowHeight="18" x14ac:dyDescent="0.35"/>
  <cols>
    <col min="1" max="1" width="43.25" customWidth="1"/>
    <col min="3" max="4" width="20.125" style="1" customWidth="1"/>
  </cols>
  <sheetData>
    <row r="1" spans="1:4" x14ac:dyDescent="0.35">
      <c r="A1" t="s">
        <v>24</v>
      </c>
    </row>
    <row r="2" spans="1:4" x14ac:dyDescent="0.35">
      <c r="C2" s="2" t="s">
        <v>1</v>
      </c>
      <c r="D2" s="2" t="s">
        <v>1</v>
      </c>
    </row>
    <row r="3" spans="1:4" x14ac:dyDescent="0.35">
      <c r="C3" s="2" t="s">
        <v>2</v>
      </c>
      <c r="D3" s="2" t="s">
        <v>3</v>
      </c>
    </row>
    <row r="5" spans="1:4" x14ac:dyDescent="0.35">
      <c r="A5" t="s">
        <v>4</v>
      </c>
      <c r="C5" s="3">
        <v>369</v>
      </c>
    </row>
    <row r="7" spans="1:4" x14ac:dyDescent="0.35">
      <c r="A7" s="9" t="s">
        <v>36</v>
      </c>
      <c r="B7" s="9"/>
      <c r="C7" s="10">
        <f>C24</f>
        <v>1.75</v>
      </c>
      <c r="D7" s="10"/>
    </row>
    <row r="8" spans="1:4" x14ac:dyDescent="0.35">
      <c r="A8" s="9"/>
      <c r="B8" s="9"/>
      <c r="C8" s="10"/>
      <c r="D8" s="10"/>
    </row>
    <row r="12" spans="1:4" x14ac:dyDescent="0.35">
      <c r="A12" t="s">
        <v>25</v>
      </c>
    </row>
    <row r="13" spans="1:4" x14ac:dyDescent="0.35">
      <c r="C13" s="2" t="s">
        <v>29</v>
      </c>
      <c r="D13" s="2" t="s">
        <v>29</v>
      </c>
    </row>
    <row r="14" spans="1:4" x14ac:dyDescent="0.35">
      <c r="C14" s="2" t="s">
        <v>27</v>
      </c>
      <c r="D14" s="2" t="s">
        <v>28</v>
      </c>
    </row>
    <row r="15" spans="1:4" x14ac:dyDescent="0.35">
      <c r="A15" t="s">
        <v>26</v>
      </c>
      <c r="C15" s="1">
        <v>58</v>
      </c>
      <c r="D15" s="1">
        <v>65</v>
      </c>
    </row>
    <row r="17" spans="1:3" ht="36" x14ac:dyDescent="0.35">
      <c r="A17" s="7" t="s">
        <v>30</v>
      </c>
      <c r="C17" s="1">
        <v>5</v>
      </c>
    </row>
    <row r="19" spans="1:3" x14ac:dyDescent="0.35">
      <c r="A19" t="s">
        <v>31</v>
      </c>
    </row>
    <row r="20" spans="1:3" x14ac:dyDescent="0.35">
      <c r="A20" t="s">
        <v>32</v>
      </c>
      <c r="C20" s="1">
        <v>65</v>
      </c>
    </row>
    <row r="21" spans="1:3" x14ac:dyDescent="0.35">
      <c r="A21" s="11">
        <v>0.05</v>
      </c>
      <c r="C21" s="1">
        <f>C20*5%</f>
        <v>3.25</v>
      </c>
    </row>
    <row r="22" spans="1:3" x14ac:dyDescent="0.35">
      <c r="A22" t="s">
        <v>33</v>
      </c>
      <c r="C22" s="1">
        <v>3.25</v>
      </c>
    </row>
    <row r="23" spans="1:3" x14ac:dyDescent="0.35">
      <c r="A23" t="s">
        <v>34</v>
      </c>
      <c r="C23" s="1">
        <v>5</v>
      </c>
    </row>
    <row r="24" spans="1:3" x14ac:dyDescent="0.35">
      <c r="A24" t="s">
        <v>35</v>
      </c>
      <c r="C24" s="1">
        <f>C23-C22</f>
        <v>1.75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XFD1048576"/>
    </sheetView>
  </sheetViews>
  <sheetFormatPr defaultRowHeight="18" x14ac:dyDescent="0.35"/>
  <cols>
    <col min="1" max="1" width="46" customWidth="1"/>
    <col min="3" max="3" width="9.75" style="13" bestFit="1" customWidth="1"/>
  </cols>
  <sheetData>
    <row r="1" spans="1:3" x14ac:dyDescent="0.35">
      <c r="A1" t="s">
        <v>37</v>
      </c>
    </row>
    <row r="3" spans="1:3" x14ac:dyDescent="0.35">
      <c r="A3" s="16" t="s">
        <v>38</v>
      </c>
    </row>
    <row r="5" spans="1:3" x14ac:dyDescent="0.35">
      <c r="C5" s="13" t="s">
        <v>40</v>
      </c>
    </row>
    <row r="6" spans="1:3" x14ac:dyDescent="0.35">
      <c r="A6" t="s">
        <v>41</v>
      </c>
      <c r="C6" s="13">
        <v>50</v>
      </c>
    </row>
    <row r="8" spans="1:3" ht="36" x14ac:dyDescent="0.35">
      <c r="A8" s="7" t="s">
        <v>42</v>
      </c>
      <c r="B8" t="s">
        <v>43</v>
      </c>
      <c r="C8" s="13">
        <f>C22</f>
        <v>689</v>
      </c>
    </row>
    <row r="10" spans="1:3" ht="36" x14ac:dyDescent="0.35">
      <c r="A10" s="7" t="s">
        <v>47</v>
      </c>
      <c r="C10" s="13">
        <f>100+1969</f>
        <v>2069</v>
      </c>
    </row>
    <row r="11" spans="1:3" x14ac:dyDescent="0.35">
      <c r="A11" t="s">
        <v>48</v>
      </c>
      <c r="C11" s="13">
        <f>C10*4</f>
        <v>8276</v>
      </c>
    </row>
    <row r="13" spans="1:3" x14ac:dyDescent="0.35">
      <c r="A13" t="s">
        <v>49</v>
      </c>
      <c r="C13" s="15">
        <f>C6/C8*C11</f>
        <v>600.58055152394775</v>
      </c>
    </row>
    <row r="14" spans="1:3" x14ac:dyDescent="0.35">
      <c r="A14" t="s">
        <v>50</v>
      </c>
      <c r="C14" s="13">
        <v>50</v>
      </c>
    </row>
    <row r="15" spans="1:3" x14ac:dyDescent="0.35">
      <c r="A15" t="s">
        <v>51</v>
      </c>
      <c r="C15" s="13">
        <v>0</v>
      </c>
    </row>
    <row r="18" spans="1:3" x14ac:dyDescent="0.35">
      <c r="A18" s="12" t="s">
        <v>43</v>
      </c>
    </row>
    <row r="19" spans="1:3" x14ac:dyDescent="0.35">
      <c r="A19" t="s">
        <v>44</v>
      </c>
      <c r="C19" s="13">
        <v>536</v>
      </c>
    </row>
    <row r="20" spans="1:3" x14ac:dyDescent="0.35">
      <c r="A20" t="s">
        <v>45</v>
      </c>
      <c r="C20" s="13">
        <v>145</v>
      </c>
    </row>
    <row r="21" spans="1:3" x14ac:dyDescent="0.35">
      <c r="A21" t="s">
        <v>46</v>
      </c>
      <c r="C21" s="13">
        <v>8</v>
      </c>
    </row>
    <row r="22" spans="1:3" ht="18.75" thickBot="1" x14ac:dyDescent="0.4">
      <c r="C22" s="14">
        <f>SUM(C19:C21)</f>
        <v>689</v>
      </c>
    </row>
    <row r="23" spans="1:3" ht="18.75" thickTop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workbookViewId="0">
      <selection sqref="A1:XFD1048576"/>
    </sheetView>
  </sheetViews>
  <sheetFormatPr defaultRowHeight="18" x14ac:dyDescent="0.35"/>
  <cols>
    <col min="1" max="1" width="32.5" customWidth="1"/>
    <col min="3" max="4" width="17.75" style="13" customWidth="1"/>
  </cols>
  <sheetData>
    <row r="1" spans="1:4" x14ac:dyDescent="0.35">
      <c r="A1" t="s">
        <v>52</v>
      </c>
    </row>
    <row r="2" spans="1:4" x14ac:dyDescent="0.35">
      <c r="A2" t="s">
        <v>53</v>
      </c>
    </row>
    <row r="4" spans="1:4" x14ac:dyDescent="0.35">
      <c r="A4" t="s">
        <v>54</v>
      </c>
      <c r="B4" t="s">
        <v>43</v>
      </c>
      <c r="D4" s="13">
        <f>C68</f>
        <v>1983525</v>
      </c>
    </row>
    <row r="6" spans="1:4" x14ac:dyDescent="0.35">
      <c r="A6" t="s">
        <v>55</v>
      </c>
      <c r="B6" t="s">
        <v>56</v>
      </c>
      <c r="D6" s="13">
        <f>D124</f>
        <v>2950000</v>
      </c>
    </row>
    <row r="8" spans="1:4" s="12" customFormat="1" x14ac:dyDescent="0.35">
      <c r="A8" s="12" t="s">
        <v>57</v>
      </c>
      <c r="C8" s="21"/>
      <c r="D8" s="21">
        <f>SUM(D4:D7)</f>
        <v>4933525</v>
      </c>
    </row>
    <row r="9" spans="1:4" x14ac:dyDescent="0.35">
      <c r="A9" s="20" t="s">
        <v>58</v>
      </c>
    </row>
    <row r="10" spans="1:4" x14ac:dyDescent="0.35">
      <c r="A10" t="s">
        <v>95</v>
      </c>
      <c r="C10" s="13">
        <f>25000*5</f>
        <v>125000</v>
      </c>
      <c r="D10" s="13">
        <f>-C10</f>
        <v>-125000</v>
      </c>
    </row>
    <row r="11" spans="1:4" s="12" customFormat="1" ht="18.75" thickBot="1" x14ac:dyDescent="0.4">
      <c r="A11" s="12" t="s">
        <v>59</v>
      </c>
      <c r="C11" s="21"/>
      <c r="D11" s="14">
        <f>SUM(D8:D10)</f>
        <v>4808525</v>
      </c>
    </row>
    <row r="12" spans="1:4" ht="18.75" thickTop="1" x14ac:dyDescent="0.35"/>
    <row r="14" spans="1:4" x14ac:dyDescent="0.35">
      <c r="A14" t="s">
        <v>60</v>
      </c>
    </row>
    <row r="15" spans="1:4" x14ac:dyDescent="0.35">
      <c r="A15" t="s">
        <v>114</v>
      </c>
      <c r="B15" s="18" t="s">
        <v>115</v>
      </c>
      <c r="C15" s="13">
        <f>D122</f>
        <v>200000</v>
      </c>
      <c r="D15" s="13">
        <f>C15*10%</f>
        <v>20000</v>
      </c>
    </row>
    <row r="16" spans="1:4" x14ac:dyDescent="0.35">
      <c r="A16" t="s">
        <v>80</v>
      </c>
      <c r="B16" s="18" t="s">
        <v>66</v>
      </c>
      <c r="C16" s="13">
        <f>D114</f>
        <v>860000</v>
      </c>
      <c r="D16" s="13">
        <f>C16*14%</f>
        <v>120400.00000000001</v>
      </c>
    </row>
    <row r="17" spans="1:4" x14ac:dyDescent="0.35">
      <c r="A17" t="s">
        <v>65</v>
      </c>
      <c r="B17" s="18" t="s">
        <v>66</v>
      </c>
      <c r="C17" s="13">
        <f>D71</f>
        <v>1292532.2523185925</v>
      </c>
      <c r="D17" s="13">
        <f>C17*14%</f>
        <v>180954.51532460298</v>
      </c>
    </row>
    <row r="18" spans="1:4" x14ac:dyDescent="0.35">
      <c r="A18" t="s">
        <v>67</v>
      </c>
      <c r="B18" s="18" t="s">
        <v>66</v>
      </c>
      <c r="C18" s="13">
        <f t="shared" ref="C18:C20" si="0">D72</f>
        <v>298098.52426063764</v>
      </c>
      <c r="D18" s="13">
        <f>C18*14%</f>
        <v>41733.793396489273</v>
      </c>
    </row>
    <row r="19" spans="1:4" x14ac:dyDescent="0.35">
      <c r="A19" t="s">
        <v>68</v>
      </c>
      <c r="B19" s="18" t="s">
        <v>69</v>
      </c>
      <c r="C19" s="13">
        <f t="shared" si="0"/>
        <v>134350.92843211399</v>
      </c>
      <c r="D19" s="13">
        <f>C19*18%</f>
        <v>24183.167117780518</v>
      </c>
    </row>
    <row r="20" spans="1:4" x14ac:dyDescent="0.35">
      <c r="A20" t="s">
        <v>70</v>
      </c>
      <c r="B20" s="18" t="s">
        <v>71</v>
      </c>
      <c r="C20" s="13">
        <f t="shared" si="0"/>
        <v>258543.29498865581</v>
      </c>
      <c r="D20" s="13">
        <f>C20*24%</f>
        <v>62050.390797277389</v>
      </c>
    </row>
    <row r="21" spans="1:4" x14ac:dyDescent="0.35">
      <c r="A21" t="s">
        <v>147</v>
      </c>
      <c r="B21" s="18" t="s">
        <v>71</v>
      </c>
      <c r="C21" s="13">
        <f>D6-C15-C16+D10</f>
        <v>1765000</v>
      </c>
      <c r="D21" s="13">
        <f>C21*24%</f>
        <v>423600</v>
      </c>
    </row>
    <row r="22" spans="1:4" ht="18.75" thickBot="1" x14ac:dyDescent="0.4">
      <c r="C22" s="14">
        <f>SUM(C15:C21)</f>
        <v>4808525</v>
      </c>
      <c r="D22" s="14">
        <f>SUM(D15:D21)</f>
        <v>872921.86663615017</v>
      </c>
    </row>
    <row r="23" spans="1:4" ht="18.75" thickTop="1" x14ac:dyDescent="0.35">
      <c r="A23" t="s">
        <v>61</v>
      </c>
    </row>
    <row r="24" spans="1:4" x14ac:dyDescent="0.35">
      <c r="A24" t="s">
        <v>131</v>
      </c>
      <c r="C24" s="13">
        <v>18750</v>
      </c>
      <c r="D24" s="13">
        <f>-C24</f>
        <v>-18750</v>
      </c>
    </row>
    <row r="26" spans="1:4" s="12" customFormat="1" ht="18.75" thickBot="1" x14ac:dyDescent="0.4">
      <c r="A26" s="12" t="s">
        <v>62</v>
      </c>
      <c r="C26" s="21"/>
      <c r="D26" s="14">
        <f>SUM(D22:D25)</f>
        <v>854171.86663615017</v>
      </c>
    </row>
    <row r="27" spans="1:4" ht="18.75" thickTop="1" x14ac:dyDescent="0.35"/>
    <row r="29" spans="1:4" x14ac:dyDescent="0.35">
      <c r="A29" t="s">
        <v>63</v>
      </c>
    </row>
    <row r="31" spans="1:4" x14ac:dyDescent="0.35">
      <c r="C31" s="17" t="s">
        <v>64</v>
      </c>
      <c r="D31" s="17" t="s">
        <v>64</v>
      </c>
    </row>
    <row r="32" spans="1:4" x14ac:dyDescent="0.35">
      <c r="C32" s="17" t="s">
        <v>2</v>
      </c>
      <c r="D32" s="17" t="s">
        <v>3</v>
      </c>
    </row>
    <row r="34" spans="1:4" x14ac:dyDescent="0.35">
      <c r="A34" t="s">
        <v>4</v>
      </c>
      <c r="C34" s="13">
        <v>5493000</v>
      </c>
    </row>
    <row r="36" spans="1:4" x14ac:dyDescent="0.35">
      <c r="A36" t="s">
        <v>72</v>
      </c>
      <c r="B36" t="s">
        <v>96</v>
      </c>
      <c r="D36" s="13">
        <v>25000</v>
      </c>
    </row>
    <row r="37" spans="1:4" x14ac:dyDescent="0.35">
      <c r="A37" t="s">
        <v>102</v>
      </c>
      <c r="C37" s="13">
        <f>D84</f>
        <v>10000</v>
      </c>
    </row>
    <row r="38" spans="1:4" x14ac:dyDescent="0.35">
      <c r="A38" s="19" t="s">
        <v>78</v>
      </c>
    </row>
    <row r="39" spans="1:4" x14ac:dyDescent="0.35">
      <c r="A39" t="s">
        <v>73</v>
      </c>
      <c r="B39" t="s">
        <v>74</v>
      </c>
      <c r="D39" s="13">
        <v>175000</v>
      </c>
    </row>
    <row r="40" spans="1:4" x14ac:dyDescent="0.35">
      <c r="A40" t="s">
        <v>75</v>
      </c>
      <c r="D40" s="13">
        <v>600000</v>
      </c>
    </row>
    <row r="41" spans="1:4" x14ac:dyDescent="0.35">
      <c r="A41" t="s">
        <v>79</v>
      </c>
      <c r="D41" s="13">
        <v>860000</v>
      </c>
    </row>
    <row r="42" spans="1:4" x14ac:dyDescent="0.35">
      <c r="A42" t="s">
        <v>107</v>
      </c>
      <c r="D42" s="13">
        <v>900000</v>
      </c>
    </row>
    <row r="43" spans="1:4" x14ac:dyDescent="0.35">
      <c r="A43" t="s">
        <v>82</v>
      </c>
      <c r="D43" s="13">
        <v>140000</v>
      </c>
    </row>
    <row r="44" spans="1:4" x14ac:dyDescent="0.35">
      <c r="A44" t="s">
        <v>83</v>
      </c>
      <c r="D44" s="13">
        <v>200000</v>
      </c>
    </row>
    <row r="46" spans="1:4" x14ac:dyDescent="0.35">
      <c r="A46" t="s">
        <v>84</v>
      </c>
      <c r="D46" s="13">
        <v>700000</v>
      </c>
    </row>
    <row r="47" spans="1:4" x14ac:dyDescent="0.35">
      <c r="A47" t="s">
        <v>85</v>
      </c>
      <c r="D47" s="13">
        <v>50000</v>
      </c>
    </row>
    <row r="49" spans="1:4" x14ac:dyDescent="0.35">
      <c r="A49" t="s">
        <v>86</v>
      </c>
      <c r="C49" s="13">
        <v>21900</v>
      </c>
    </row>
    <row r="50" spans="1:4" x14ac:dyDescent="0.35">
      <c r="A50" t="s">
        <v>87</v>
      </c>
      <c r="C50" s="13">
        <v>1470</v>
      </c>
    </row>
    <row r="51" spans="1:4" x14ac:dyDescent="0.35">
      <c r="A51" t="s">
        <v>88</v>
      </c>
      <c r="C51" s="13">
        <v>2450</v>
      </c>
    </row>
    <row r="52" spans="1:4" x14ac:dyDescent="0.35">
      <c r="A52" t="s">
        <v>89</v>
      </c>
      <c r="C52" s="13">
        <v>24150</v>
      </c>
    </row>
    <row r="53" spans="1:4" x14ac:dyDescent="0.35">
      <c r="A53" t="s">
        <v>90</v>
      </c>
      <c r="D53" s="13">
        <v>11200</v>
      </c>
    </row>
    <row r="54" spans="1:4" x14ac:dyDescent="0.35">
      <c r="A54" t="s">
        <v>91</v>
      </c>
      <c r="C54" s="13">
        <v>62775</v>
      </c>
    </row>
    <row r="55" spans="1:4" x14ac:dyDescent="0.35">
      <c r="A55" t="s">
        <v>92</v>
      </c>
      <c r="C55" s="13">
        <v>5200</v>
      </c>
    </row>
    <row r="56" spans="1:4" x14ac:dyDescent="0.35">
      <c r="A56" t="s">
        <v>93</v>
      </c>
      <c r="C56" s="13">
        <v>16080</v>
      </c>
    </row>
    <row r="57" spans="1:4" x14ac:dyDescent="0.35">
      <c r="A57" t="s">
        <v>94</v>
      </c>
      <c r="C57" s="13">
        <v>26400</v>
      </c>
    </row>
    <row r="59" spans="1:4" x14ac:dyDescent="0.35">
      <c r="A59" t="s">
        <v>116</v>
      </c>
    </row>
    <row r="61" spans="1:4" x14ac:dyDescent="0.35">
      <c r="A61" t="s">
        <v>117</v>
      </c>
      <c r="C61" s="13">
        <v>13800</v>
      </c>
    </row>
    <row r="62" spans="1:4" x14ac:dyDescent="0.35">
      <c r="A62" t="s">
        <v>118</v>
      </c>
      <c r="B62" t="s">
        <v>132</v>
      </c>
      <c r="D62" s="13">
        <f>D96</f>
        <v>35400</v>
      </c>
    </row>
    <row r="64" spans="1:4" x14ac:dyDescent="0.35">
      <c r="A64" t="s">
        <v>39</v>
      </c>
      <c r="B64" t="s">
        <v>119</v>
      </c>
      <c r="C64" s="13">
        <v>0</v>
      </c>
    </row>
    <row r="65" spans="1:4" x14ac:dyDescent="0.35">
      <c r="A65" t="s">
        <v>134</v>
      </c>
      <c r="C65" s="13">
        <v>2500</v>
      </c>
    </row>
    <row r="66" spans="1:4" x14ac:dyDescent="0.35">
      <c r="A66" t="s">
        <v>135</v>
      </c>
      <c r="C66" s="13">
        <v>400</v>
      </c>
    </row>
    <row r="67" spans="1:4" ht="18.75" thickBot="1" x14ac:dyDescent="0.4">
      <c r="C67" s="27">
        <f>SUM(C33:C66)</f>
        <v>5680125</v>
      </c>
      <c r="D67" s="14">
        <f>SUM(D33:D66)</f>
        <v>3696600</v>
      </c>
    </row>
    <row r="68" spans="1:4" ht="19.5" thickTop="1" thickBot="1" x14ac:dyDescent="0.4">
      <c r="A68" t="s">
        <v>142</v>
      </c>
      <c r="C68" s="14">
        <f>C67-D67</f>
        <v>1983525</v>
      </c>
    </row>
    <row r="69" spans="1:4" ht="18.75" thickTop="1" x14ac:dyDescent="0.35"/>
    <row r="70" spans="1:4" x14ac:dyDescent="0.35">
      <c r="A70" s="19" t="s">
        <v>144</v>
      </c>
    </row>
    <row r="71" spans="1:4" x14ac:dyDescent="0.35">
      <c r="A71" t="s">
        <v>65</v>
      </c>
      <c r="C71" s="13">
        <v>98226000</v>
      </c>
      <c r="D71" s="13">
        <f>$C$68/$C$75*C71</f>
        <v>1292532.2523185925</v>
      </c>
    </row>
    <row r="72" spans="1:4" x14ac:dyDescent="0.35">
      <c r="A72" t="s">
        <v>67</v>
      </c>
      <c r="C72" s="13">
        <v>22654000</v>
      </c>
      <c r="D72" s="13">
        <f t="shared" ref="D72:D74" si="1">$C$68/$C$75*C72</f>
        <v>298098.52426063764</v>
      </c>
    </row>
    <row r="73" spans="1:4" x14ac:dyDescent="0.35">
      <c r="A73" t="s">
        <v>145</v>
      </c>
      <c r="C73" s="13">
        <v>10210000</v>
      </c>
      <c r="D73" s="13">
        <f t="shared" si="1"/>
        <v>134350.92843211399</v>
      </c>
    </row>
    <row r="74" spans="1:4" x14ac:dyDescent="0.35">
      <c r="A74" t="s">
        <v>146</v>
      </c>
      <c r="C74" s="13">
        <v>19648000</v>
      </c>
      <c r="D74" s="13">
        <f t="shared" si="1"/>
        <v>258543.29498865581</v>
      </c>
    </row>
    <row r="75" spans="1:4" ht="18.75" thickBot="1" x14ac:dyDescent="0.4">
      <c r="C75" s="14">
        <f>SUM(C71:C74)</f>
        <v>150738000</v>
      </c>
    </row>
    <row r="76" spans="1:4" ht="18.75" thickTop="1" x14ac:dyDescent="0.35"/>
    <row r="77" spans="1:4" x14ac:dyDescent="0.35">
      <c r="A77" t="s">
        <v>97</v>
      </c>
    </row>
    <row r="79" spans="1:4" s="12" customFormat="1" x14ac:dyDescent="0.35">
      <c r="A79" s="12" t="s">
        <v>103</v>
      </c>
      <c r="C79" s="21"/>
      <c r="D79" s="22"/>
    </row>
    <row r="80" spans="1:4" x14ac:dyDescent="0.35">
      <c r="A80" t="s">
        <v>101</v>
      </c>
      <c r="D80" s="13">
        <v>10000</v>
      </c>
    </row>
    <row r="81" spans="1:4" x14ac:dyDescent="0.35">
      <c r="A81" t="s">
        <v>98</v>
      </c>
    </row>
    <row r="82" spans="1:4" x14ac:dyDescent="0.35">
      <c r="A82" t="s">
        <v>15</v>
      </c>
      <c r="C82" s="13">
        <v>10000</v>
      </c>
    </row>
    <row r="83" spans="1:4" x14ac:dyDescent="0.35">
      <c r="A83" t="s">
        <v>99</v>
      </c>
      <c r="C83" s="13">
        <v>-10000</v>
      </c>
      <c r="D83" s="13">
        <f>-SUM(C82:C83)</f>
        <v>0</v>
      </c>
    </row>
    <row r="84" spans="1:4" ht="18.75" thickBot="1" x14ac:dyDescent="0.4">
      <c r="A84" s="12" t="s">
        <v>100</v>
      </c>
      <c r="B84" s="12"/>
      <c r="C84" s="21"/>
      <c r="D84" s="14">
        <f>SUM(D80:D83)</f>
        <v>10000</v>
      </c>
    </row>
    <row r="85" spans="1:4" ht="18.75" thickTop="1" x14ac:dyDescent="0.35">
      <c r="A85" s="12"/>
      <c r="B85" s="12"/>
      <c r="C85" s="21"/>
      <c r="D85" s="22"/>
    </row>
    <row r="86" spans="1:4" x14ac:dyDescent="0.35">
      <c r="A86" s="12" t="s">
        <v>120</v>
      </c>
      <c r="B86" s="12"/>
      <c r="C86" s="21"/>
      <c r="D86" s="22"/>
    </row>
    <row r="87" spans="1:4" x14ac:dyDescent="0.35">
      <c r="A87" s="12"/>
      <c r="B87" s="12"/>
      <c r="C87" s="21"/>
      <c r="D87" s="22"/>
    </row>
    <row r="88" spans="1:4" x14ac:dyDescent="0.35">
      <c r="A88" s="12"/>
      <c r="B88" s="12" t="s">
        <v>121</v>
      </c>
      <c r="C88" s="21" t="s">
        <v>122</v>
      </c>
      <c r="D88" s="22" t="s">
        <v>123</v>
      </c>
    </row>
    <row r="89" spans="1:4" x14ac:dyDescent="0.35">
      <c r="A89" s="23" t="s">
        <v>124</v>
      </c>
      <c r="B89" s="23">
        <v>5</v>
      </c>
      <c r="C89" s="24">
        <v>88000</v>
      </c>
      <c r="D89" s="25">
        <f>C89/B89</f>
        <v>17600</v>
      </c>
    </row>
    <row r="90" spans="1:4" x14ac:dyDescent="0.35">
      <c r="A90" s="23" t="s">
        <v>125</v>
      </c>
      <c r="B90" s="23">
        <v>5</v>
      </c>
      <c r="C90" s="24">
        <v>60000</v>
      </c>
      <c r="D90" s="25">
        <f t="shared" ref="D90:D95" si="2">C90/B90</f>
        <v>12000</v>
      </c>
    </row>
    <row r="91" spans="1:4" x14ac:dyDescent="0.35">
      <c r="A91" s="23" t="s">
        <v>126</v>
      </c>
      <c r="B91" s="23"/>
      <c r="C91" s="24"/>
      <c r="D91" s="25">
        <v>0</v>
      </c>
    </row>
    <row r="92" spans="1:4" x14ac:dyDescent="0.35">
      <c r="A92" s="23" t="s">
        <v>127</v>
      </c>
      <c r="B92" s="23">
        <v>20</v>
      </c>
      <c r="C92" s="24">
        <v>60000</v>
      </c>
      <c r="D92" s="25">
        <f t="shared" si="2"/>
        <v>3000</v>
      </c>
    </row>
    <row r="93" spans="1:4" x14ac:dyDescent="0.35">
      <c r="A93" s="23" t="s">
        <v>128</v>
      </c>
      <c r="B93" s="23">
        <v>5</v>
      </c>
      <c r="C93" s="24">
        <v>5000</v>
      </c>
      <c r="D93" s="25">
        <f t="shared" si="2"/>
        <v>1000</v>
      </c>
    </row>
    <row r="94" spans="1:4" x14ac:dyDescent="0.35">
      <c r="A94" s="23" t="s">
        <v>129</v>
      </c>
      <c r="B94" s="23">
        <v>5</v>
      </c>
      <c r="C94" s="24">
        <v>4000</v>
      </c>
      <c r="D94" s="25">
        <f t="shared" si="2"/>
        <v>800</v>
      </c>
    </row>
    <row r="95" spans="1:4" x14ac:dyDescent="0.35">
      <c r="A95" s="23" t="s">
        <v>130</v>
      </c>
      <c r="B95" s="23">
        <v>5</v>
      </c>
      <c r="C95" s="24">
        <v>5000</v>
      </c>
      <c r="D95" s="25">
        <f t="shared" si="2"/>
        <v>1000</v>
      </c>
    </row>
    <row r="96" spans="1:4" ht="18.75" thickBot="1" x14ac:dyDescent="0.4">
      <c r="A96" s="23"/>
      <c r="B96" s="23"/>
      <c r="C96" s="24"/>
      <c r="D96" s="14">
        <f>SUM(D89:D95)</f>
        <v>35400</v>
      </c>
    </row>
    <row r="97" spans="1:4" ht="18.75" thickTop="1" x14ac:dyDescent="0.35">
      <c r="A97" s="23"/>
      <c r="B97" s="23"/>
      <c r="C97" s="24"/>
      <c r="D97" s="25"/>
    </row>
    <row r="98" spans="1:4" x14ac:dyDescent="0.35">
      <c r="A98" s="23" t="s">
        <v>133</v>
      </c>
      <c r="B98" s="23"/>
      <c r="C98" s="24"/>
      <c r="D98" s="25"/>
    </row>
    <row r="99" spans="1:4" x14ac:dyDescent="0.35">
      <c r="A99" s="23"/>
      <c r="B99" s="23"/>
      <c r="C99" s="24"/>
      <c r="D99" s="25"/>
    </row>
    <row r="100" spans="1:4" x14ac:dyDescent="0.35">
      <c r="A100" s="23" t="s">
        <v>136</v>
      </c>
      <c r="B100" s="23"/>
      <c r="C100" s="24"/>
      <c r="D100" s="25">
        <v>616100</v>
      </c>
    </row>
    <row r="101" spans="1:4" x14ac:dyDescent="0.35">
      <c r="A101" s="23" t="s">
        <v>137</v>
      </c>
      <c r="B101" s="23"/>
      <c r="C101" s="24"/>
      <c r="D101" s="25">
        <v>39774000</v>
      </c>
    </row>
    <row r="102" spans="1:4" x14ac:dyDescent="0.35">
      <c r="A102" s="23" t="s">
        <v>138</v>
      </c>
      <c r="B102" s="23"/>
      <c r="C102" s="24"/>
      <c r="D102" s="25">
        <v>62963000</v>
      </c>
    </row>
    <row r="103" spans="1:4" x14ac:dyDescent="0.35">
      <c r="A103" s="26" t="s">
        <v>139</v>
      </c>
      <c r="B103" s="23"/>
      <c r="C103" s="24"/>
      <c r="D103" s="25">
        <f>D102*4</f>
        <v>251852000</v>
      </c>
    </row>
    <row r="104" spans="1:4" x14ac:dyDescent="0.35">
      <c r="A104" s="23"/>
      <c r="B104" s="23"/>
      <c r="C104" s="24"/>
      <c r="D104" s="25"/>
    </row>
    <row r="105" spans="1:4" x14ac:dyDescent="0.35">
      <c r="A105" s="23" t="s">
        <v>140</v>
      </c>
      <c r="B105" s="23"/>
      <c r="C105" s="24"/>
      <c r="D105" s="25">
        <f>D100/D101*D103</f>
        <v>3901192.1657364108</v>
      </c>
    </row>
    <row r="106" spans="1:4" x14ac:dyDescent="0.35">
      <c r="A106" s="23" t="s">
        <v>141</v>
      </c>
      <c r="B106" s="23"/>
      <c r="C106" s="24"/>
      <c r="D106" s="25">
        <v>0</v>
      </c>
    </row>
    <row r="107" spans="1:4" x14ac:dyDescent="0.35">
      <c r="A107" s="23"/>
      <c r="B107" s="23"/>
      <c r="C107" s="24"/>
      <c r="D107" s="25"/>
    </row>
    <row r="108" spans="1:4" x14ac:dyDescent="0.35">
      <c r="A108" s="23"/>
      <c r="B108" s="23"/>
      <c r="C108" s="24"/>
      <c r="D108" s="25"/>
    </row>
    <row r="109" spans="1:4" x14ac:dyDescent="0.35">
      <c r="A109" s="23"/>
      <c r="B109" s="23"/>
      <c r="C109" s="24"/>
      <c r="D109" s="25"/>
    </row>
    <row r="110" spans="1:4" x14ac:dyDescent="0.35">
      <c r="A110" t="s">
        <v>76</v>
      </c>
    </row>
    <row r="112" spans="1:4" x14ac:dyDescent="0.35">
      <c r="A112" t="s">
        <v>77</v>
      </c>
      <c r="B112" t="s">
        <v>104</v>
      </c>
      <c r="D112" s="13">
        <v>600000</v>
      </c>
    </row>
    <row r="114" spans="1:4" x14ac:dyDescent="0.35">
      <c r="A114" t="s">
        <v>80</v>
      </c>
      <c r="D114" s="13">
        <v>860000</v>
      </c>
    </row>
    <row r="116" spans="1:4" x14ac:dyDescent="0.35">
      <c r="A116" t="s">
        <v>81</v>
      </c>
      <c r="D116" s="13">
        <v>900000</v>
      </c>
    </row>
    <row r="118" spans="1:4" x14ac:dyDescent="0.35">
      <c r="A118" t="s">
        <v>82</v>
      </c>
      <c r="D118" s="13">
        <v>140000</v>
      </c>
    </row>
    <row r="120" spans="1:4" x14ac:dyDescent="0.35">
      <c r="A120" t="s">
        <v>83</v>
      </c>
      <c r="D120" s="13">
        <v>200000</v>
      </c>
    </row>
    <row r="122" spans="1:4" x14ac:dyDescent="0.35">
      <c r="A122" t="s">
        <v>108</v>
      </c>
      <c r="B122" t="s">
        <v>110</v>
      </c>
      <c r="D122" s="13">
        <f>D140</f>
        <v>200000</v>
      </c>
    </row>
    <row r="123" spans="1:4" x14ac:dyDescent="0.35">
      <c r="A123" t="s">
        <v>109</v>
      </c>
      <c r="D123" s="13">
        <f>D47</f>
        <v>50000</v>
      </c>
    </row>
    <row r="124" spans="1:4" s="12" customFormat="1" ht="18.75" thickBot="1" x14ac:dyDescent="0.4">
      <c r="A124" s="12" t="s">
        <v>143</v>
      </c>
      <c r="C124" s="21"/>
      <c r="D124" s="14">
        <f>SUM(D112:D123)</f>
        <v>2950000</v>
      </c>
    </row>
    <row r="125" spans="1:4" ht="18.75" thickTop="1" x14ac:dyDescent="0.35"/>
    <row r="128" spans="1:4" x14ac:dyDescent="0.35">
      <c r="A128" t="s">
        <v>105</v>
      </c>
    </row>
    <row r="130" spans="1:4" x14ac:dyDescent="0.35">
      <c r="A130" t="s">
        <v>10</v>
      </c>
      <c r="D130" s="13">
        <f>1600+600</f>
        <v>2200</v>
      </c>
    </row>
    <row r="131" spans="1:4" x14ac:dyDescent="0.35">
      <c r="A131" t="s">
        <v>106</v>
      </c>
      <c r="D131" s="13">
        <v>-1600</v>
      </c>
    </row>
    <row r="132" spans="1:4" ht="18.75" thickBot="1" x14ac:dyDescent="0.4">
      <c r="D132" s="14">
        <f>SUM(D130:D131)</f>
        <v>600</v>
      </c>
    </row>
    <row r="133" spans="1:4" ht="18.75" thickTop="1" x14ac:dyDescent="0.35"/>
    <row r="135" spans="1:4" x14ac:dyDescent="0.35">
      <c r="A135" t="s">
        <v>111</v>
      </c>
    </row>
    <row r="137" spans="1:4" x14ac:dyDescent="0.35">
      <c r="A137" t="s">
        <v>10</v>
      </c>
      <c r="D137" s="13">
        <v>700000</v>
      </c>
    </row>
    <row r="138" spans="1:4" x14ac:dyDescent="0.35">
      <c r="A138" t="s">
        <v>112</v>
      </c>
    </row>
    <row r="139" spans="1:4" x14ac:dyDescent="0.35">
      <c r="A139" t="s">
        <v>113</v>
      </c>
      <c r="C139" s="13">
        <v>500000</v>
      </c>
      <c r="D139" s="13">
        <f>-C139</f>
        <v>-500000</v>
      </c>
    </row>
    <row r="140" spans="1:4" ht="18.75" thickBot="1" x14ac:dyDescent="0.4">
      <c r="A140" t="s">
        <v>17</v>
      </c>
      <c r="D140" s="14">
        <f>SUM(D137:D139)</f>
        <v>200000</v>
      </c>
    </row>
    <row r="141" spans="1:4" ht="18.75" thickTop="1" x14ac:dyDescent="0.3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XFD1048576"/>
    </sheetView>
  </sheetViews>
  <sheetFormatPr defaultRowHeight="18" x14ac:dyDescent="0.35"/>
  <cols>
    <col min="1" max="1" width="24.75" customWidth="1"/>
    <col min="2" max="2" width="16" style="1" customWidth="1"/>
    <col min="4" max="4" width="14.75" style="1" customWidth="1"/>
  </cols>
  <sheetData>
    <row r="1" spans="1:4" x14ac:dyDescent="0.35">
      <c r="A1" t="s">
        <v>148</v>
      </c>
    </row>
    <row r="2" spans="1:4" x14ac:dyDescent="0.35">
      <c r="A2" t="s">
        <v>149</v>
      </c>
    </row>
    <row r="4" spans="1:4" x14ac:dyDescent="0.35">
      <c r="A4" t="s">
        <v>150</v>
      </c>
    </row>
    <row r="5" spans="1:4" ht="36" x14ac:dyDescent="0.35">
      <c r="B5" s="5" t="s">
        <v>157</v>
      </c>
      <c r="C5" s="4" t="s">
        <v>152</v>
      </c>
      <c r="D5" s="2" t="s">
        <v>158</v>
      </c>
    </row>
    <row r="6" spans="1:4" x14ac:dyDescent="0.35">
      <c r="A6" s="19" t="s">
        <v>153</v>
      </c>
    </row>
    <row r="7" spans="1:4" x14ac:dyDescent="0.35">
      <c r="A7" t="s">
        <v>161</v>
      </c>
      <c r="B7" s="13">
        <v>50000</v>
      </c>
      <c r="C7" s="11">
        <v>0.08</v>
      </c>
      <c r="D7" s="13">
        <f>B7*C7</f>
        <v>4000</v>
      </c>
    </row>
    <row r="8" spans="1:4" x14ac:dyDescent="0.35">
      <c r="A8" t="s">
        <v>164</v>
      </c>
      <c r="B8" s="13">
        <v>210000</v>
      </c>
      <c r="C8" s="11">
        <v>0.08</v>
      </c>
      <c r="D8" s="13">
        <f t="shared" ref="D8:D15" si="0">B8*C8</f>
        <v>16800</v>
      </c>
    </row>
    <row r="9" spans="1:4" x14ac:dyDescent="0.35">
      <c r="A9" t="s">
        <v>165</v>
      </c>
      <c r="B9" s="13">
        <f>115000/108*100</f>
        <v>106481.48148148147</v>
      </c>
      <c r="C9" s="11">
        <v>0.08</v>
      </c>
      <c r="D9" s="13">
        <f t="shared" si="0"/>
        <v>8518.5185185185182</v>
      </c>
    </row>
    <row r="10" spans="1:4" x14ac:dyDescent="0.35">
      <c r="A10" t="s">
        <v>165</v>
      </c>
      <c r="B10" s="13">
        <f>34500/108*100</f>
        <v>31944.444444444445</v>
      </c>
      <c r="C10" s="11">
        <v>0.08</v>
      </c>
      <c r="D10" s="13">
        <f t="shared" si="0"/>
        <v>2555.5555555555557</v>
      </c>
    </row>
    <row r="11" spans="1:4" x14ac:dyDescent="0.35">
      <c r="A11" t="s">
        <v>166</v>
      </c>
      <c r="B11" s="13">
        <v>4000</v>
      </c>
      <c r="C11" s="11">
        <v>0.08</v>
      </c>
      <c r="D11" s="13">
        <f t="shared" si="0"/>
        <v>320</v>
      </c>
    </row>
    <row r="12" spans="1:4" x14ac:dyDescent="0.35">
      <c r="A12" t="s">
        <v>168</v>
      </c>
      <c r="B12" s="13">
        <v>400</v>
      </c>
      <c r="C12" s="11">
        <v>0.08</v>
      </c>
      <c r="D12" s="13">
        <f t="shared" si="0"/>
        <v>32</v>
      </c>
    </row>
    <row r="13" spans="1:4" x14ac:dyDescent="0.35">
      <c r="A13" t="s">
        <v>169</v>
      </c>
      <c r="B13" s="13">
        <v>6000</v>
      </c>
      <c r="C13" s="11">
        <v>0.08</v>
      </c>
      <c r="D13" s="13">
        <f t="shared" si="0"/>
        <v>480</v>
      </c>
    </row>
    <row r="14" spans="1:4" x14ac:dyDescent="0.35">
      <c r="A14" t="s">
        <v>170</v>
      </c>
      <c r="B14" s="13">
        <v>30000</v>
      </c>
      <c r="C14" s="11">
        <v>0.08</v>
      </c>
      <c r="D14" s="13">
        <f t="shared" si="0"/>
        <v>2400</v>
      </c>
    </row>
    <row r="15" spans="1:4" x14ac:dyDescent="0.35">
      <c r="A15" t="s">
        <v>171</v>
      </c>
      <c r="B15" s="13">
        <v>1000</v>
      </c>
      <c r="C15" s="11">
        <v>0.08</v>
      </c>
      <c r="D15" s="13">
        <f t="shared" si="0"/>
        <v>80</v>
      </c>
    </row>
    <row r="16" spans="1:4" ht="18.75" thickBot="1" x14ac:dyDescent="0.4">
      <c r="B16" s="14">
        <f>SUM(B7:B15)</f>
        <v>439825.9259259259</v>
      </c>
      <c r="C16" s="11"/>
    </row>
    <row r="17" spans="1:4" ht="18.75" thickTop="1" x14ac:dyDescent="0.35">
      <c r="A17" s="19" t="s">
        <v>154</v>
      </c>
    </row>
    <row r="18" spans="1:4" x14ac:dyDescent="0.35">
      <c r="A18" t="s">
        <v>160</v>
      </c>
      <c r="B18" s="13">
        <v>140000</v>
      </c>
      <c r="C18" s="11">
        <v>0.08</v>
      </c>
      <c r="D18" s="13">
        <f t="shared" ref="D18" si="1">B18*C18</f>
        <v>11200</v>
      </c>
    </row>
    <row r="19" spans="1:4" x14ac:dyDescent="0.35">
      <c r="B19" s="13"/>
      <c r="C19" s="11"/>
    </row>
    <row r="20" spans="1:4" x14ac:dyDescent="0.35">
      <c r="A20" s="19" t="s">
        <v>159</v>
      </c>
      <c r="B20" s="13"/>
    </row>
    <row r="21" spans="1:4" x14ac:dyDescent="0.35">
      <c r="A21" t="s">
        <v>156</v>
      </c>
      <c r="B21" s="13">
        <v>320000</v>
      </c>
      <c r="C21" s="11">
        <v>0</v>
      </c>
      <c r="D21" s="13">
        <f t="shared" ref="D21" si="2">B21*C21</f>
        <v>0</v>
      </c>
    </row>
    <row r="22" spans="1:4" x14ac:dyDescent="0.35">
      <c r="B22" s="13"/>
    </row>
    <row r="23" spans="1:4" x14ac:dyDescent="0.35">
      <c r="A23" s="19" t="s">
        <v>155</v>
      </c>
      <c r="B23" s="13"/>
    </row>
    <row r="24" spans="1:4" x14ac:dyDescent="0.35">
      <c r="A24" t="s">
        <v>162</v>
      </c>
      <c r="B24" s="13">
        <v>20000</v>
      </c>
      <c r="C24" t="s">
        <v>163</v>
      </c>
    </row>
    <row r="25" spans="1:4" x14ac:dyDescent="0.35">
      <c r="A25" t="s">
        <v>167</v>
      </c>
      <c r="B25" s="13">
        <v>5000</v>
      </c>
    </row>
    <row r="26" spans="1:4" ht="18.75" thickBot="1" x14ac:dyDescent="0.4">
      <c r="B26" s="14">
        <f>SUM(B24:B25)</f>
        <v>25000</v>
      </c>
    </row>
    <row r="27" spans="1:4" ht="18.75" thickTop="1" x14ac:dyDescent="0.35">
      <c r="A27" t="s">
        <v>172</v>
      </c>
      <c r="B27" s="22"/>
    </row>
    <row r="28" spans="1:4" ht="18.75" thickBot="1" x14ac:dyDescent="0.4">
      <c r="A28" t="s">
        <v>173</v>
      </c>
      <c r="B28" s="14">
        <f>B16+B18+B21+B26</f>
        <v>924825.92592592584</v>
      </c>
      <c r="D28" s="14">
        <f>SUM(D7:D27)</f>
        <v>46386.074074074073</v>
      </c>
    </row>
    <row r="29" spans="1:4" ht="18.75" thickTop="1" x14ac:dyDescent="0.35">
      <c r="B29" s="22"/>
      <c r="D29" s="22"/>
    </row>
    <row r="30" spans="1:4" x14ac:dyDescent="0.35">
      <c r="A30" t="s">
        <v>151</v>
      </c>
    </row>
    <row r="31" spans="1:4" x14ac:dyDescent="0.35">
      <c r="A31" s="19" t="s">
        <v>176</v>
      </c>
    </row>
    <row r="32" spans="1:4" x14ac:dyDescent="0.35">
      <c r="A32" t="s">
        <v>174</v>
      </c>
      <c r="B32" s="13">
        <v>132000</v>
      </c>
      <c r="C32" s="11">
        <v>0.08</v>
      </c>
      <c r="D32" s="13">
        <f>B32*C32</f>
        <v>10560</v>
      </c>
    </row>
    <row r="33" spans="1:4" x14ac:dyDescent="0.35">
      <c r="A33" t="s">
        <v>175</v>
      </c>
      <c r="B33" s="13">
        <v>12000</v>
      </c>
      <c r="C33" s="11">
        <v>0.08</v>
      </c>
      <c r="D33" s="13">
        <f>B33*C33</f>
        <v>960</v>
      </c>
    </row>
    <row r="34" spans="1:4" x14ac:dyDescent="0.35">
      <c r="A34" s="19" t="s">
        <v>177</v>
      </c>
      <c r="B34" s="13"/>
      <c r="D34" s="13"/>
    </row>
    <row r="35" spans="1:4" x14ac:dyDescent="0.35">
      <c r="A35" t="s">
        <v>178</v>
      </c>
      <c r="B35" s="13">
        <v>210000</v>
      </c>
      <c r="D35" s="13">
        <v>0</v>
      </c>
    </row>
    <row r="36" spans="1:4" x14ac:dyDescent="0.35">
      <c r="A36" t="s">
        <v>179</v>
      </c>
      <c r="B36" s="13">
        <v>180000</v>
      </c>
      <c r="C36" s="11">
        <v>0.08</v>
      </c>
      <c r="D36" s="13">
        <f>B36*C36</f>
        <v>14400</v>
      </c>
    </row>
    <row r="37" spans="1:4" x14ac:dyDescent="0.35">
      <c r="B37" s="21">
        <f>SUM(B32:B36)</f>
        <v>534000</v>
      </c>
      <c r="D37" s="13"/>
    </row>
    <row r="38" spans="1:4" x14ac:dyDescent="0.35">
      <c r="A38" t="s">
        <v>180</v>
      </c>
      <c r="D38" s="13">
        <v>24634</v>
      </c>
    </row>
    <row r="39" spans="1:4" x14ac:dyDescent="0.35">
      <c r="A39" t="s">
        <v>181</v>
      </c>
      <c r="D39" s="13">
        <f>SUM(D32:D38)</f>
        <v>50554</v>
      </c>
    </row>
    <row r="41" spans="1:4" x14ac:dyDescent="0.35">
      <c r="A41" t="s">
        <v>182</v>
      </c>
    </row>
    <row r="42" spans="1:4" x14ac:dyDescent="0.35">
      <c r="A42" t="s">
        <v>183</v>
      </c>
      <c r="B42" s="1">
        <f>D39/B28*B26</f>
        <v>1366.5814988205989</v>
      </c>
      <c r="D42" s="13">
        <f>-B42</f>
        <v>-1366.5814988205989</v>
      </c>
    </row>
    <row r="43" spans="1:4" x14ac:dyDescent="0.35">
      <c r="D43" s="13"/>
    </row>
    <row r="44" spans="1:4" x14ac:dyDescent="0.35">
      <c r="A44" t="s">
        <v>184</v>
      </c>
      <c r="D44" s="13"/>
    </row>
    <row r="45" spans="1:4" x14ac:dyDescent="0.35">
      <c r="B45" s="13">
        <f>D39/B28*B16</f>
        <v>24042.318922880382</v>
      </c>
      <c r="D45" s="13">
        <f>-B45</f>
        <v>-24042.318922880382</v>
      </c>
    </row>
    <row r="46" spans="1:4" x14ac:dyDescent="0.35">
      <c r="D46" s="13"/>
    </row>
    <row r="47" spans="1:4" x14ac:dyDescent="0.35">
      <c r="A47" t="s">
        <v>185</v>
      </c>
      <c r="B47" s="1">
        <f>D39-B42-B45</f>
        <v>25145.099578299021</v>
      </c>
      <c r="D47" s="13">
        <f>-B47</f>
        <v>-25145.099578299021</v>
      </c>
    </row>
    <row r="48" spans="1:4" x14ac:dyDescent="0.35">
      <c r="D48" s="13"/>
    </row>
    <row r="49" spans="1:4" s="12" customFormat="1" x14ac:dyDescent="0.35">
      <c r="A49" s="12" t="s">
        <v>186</v>
      </c>
      <c r="B49" s="28"/>
      <c r="D49" s="21">
        <f>D28+D42+D45+D47</f>
        <v>-4167.925925925927</v>
      </c>
    </row>
    <row r="50" spans="1:4" x14ac:dyDescent="0.35">
      <c r="D50" s="13"/>
    </row>
    <row r="51" spans="1:4" x14ac:dyDescent="0.35">
      <c r="A51" t="s">
        <v>187</v>
      </c>
      <c r="D51" s="13"/>
    </row>
    <row r="52" spans="1:4" x14ac:dyDescent="0.35">
      <c r="A52" t="s">
        <v>188</v>
      </c>
      <c r="D52" s="13">
        <f>-D18</f>
        <v>-11200</v>
      </c>
    </row>
    <row r="53" spans="1:4" x14ac:dyDescent="0.35">
      <c r="A53" t="s">
        <v>190</v>
      </c>
      <c r="D53" s="13">
        <f>D32</f>
        <v>10560</v>
      </c>
    </row>
    <row r="54" spans="1:4" s="12" customFormat="1" ht="18.75" thickBot="1" x14ac:dyDescent="0.4">
      <c r="A54" s="12" t="s">
        <v>189</v>
      </c>
      <c r="B54" s="28"/>
      <c r="D54" s="14">
        <f>SUM(D49:D53)</f>
        <v>-4807.925925925927</v>
      </c>
    </row>
    <row r="55" spans="1:4" ht="18.7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2395A-49AA-484C-BDA9-E4EF31B4D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DC32F7-4513-4FC1-A205-B90A97C34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Dinusha Rajapakse</dc:creator>
  <cp:lastModifiedBy>System Division</cp:lastModifiedBy>
  <dcterms:created xsi:type="dcterms:W3CDTF">2022-06-25T08:21:14Z</dcterms:created>
  <dcterms:modified xsi:type="dcterms:W3CDTF">2022-07-12T05:13:09Z</dcterms:modified>
</cp:coreProperties>
</file>