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MC pro\Desktop\"/>
    </mc:Choice>
  </mc:AlternateContent>
  <bookViews>
    <workbookView xWindow="0" yWindow="0" windowWidth="9240" windowHeight="5625"/>
  </bookViews>
  <sheets>
    <sheet name="Q2" sheetId="2" r:id="rId1"/>
    <sheet name="Q3" sheetId="3" r:id="rId2"/>
    <sheet name="Q4" sheetId="4" r:id="rId3"/>
    <sheet name="Q5" sheetId="5" r:id="rId4"/>
    <sheet name="Q6" sheetId="6" r:id="rId5"/>
  </sheets>
  <definedNames>
    <definedName name="_xlnm.Print_Area" localSheetId="0">'Q2'!$A$1:$T$44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4" l="1"/>
  <c r="E8" i="4"/>
  <c r="F8" i="4"/>
  <c r="G8" i="4"/>
  <c r="H8" i="4"/>
  <c r="E10" i="4"/>
  <c r="F10" i="4"/>
  <c r="G10" i="4"/>
  <c r="H10" i="4"/>
  <c r="E12" i="4"/>
  <c r="F12" i="4"/>
  <c r="G12" i="4"/>
  <c r="H12" i="4"/>
  <c r="E14" i="4"/>
  <c r="F14" i="4"/>
  <c r="G14" i="4"/>
  <c r="E16" i="4"/>
  <c r="F16" i="4"/>
  <c r="G16" i="4"/>
  <c r="H16" i="4"/>
  <c r="D17" i="4"/>
  <c r="E17" i="4"/>
  <c r="F17" i="4"/>
  <c r="G17" i="4"/>
  <c r="H17" i="4"/>
  <c r="H20" i="4"/>
  <c r="F30" i="4"/>
  <c r="F33" i="4"/>
  <c r="F35" i="4"/>
  <c r="F20" i="4" l="1"/>
  <c r="E20" i="4"/>
  <c r="F19" i="4"/>
  <c r="E19" i="4"/>
  <c r="N25" i="2" l="1"/>
  <c r="M30" i="2"/>
  <c r="L30" i="2"/>
  <c r="L31" i="2"/>
  <c r="R31" i="2"/>
  <c r="T27" i="2"/>
  <c r="S27" i="2"/>
  <c r="R27" i="2"/>
  <c r="L40" i="2"/>
  <c r="L39" i="2"/>
  <c r="L38" i="2"/>
  <c r="N27" i="2"/>
  <c r="M27" i="2"/>
  <c r="L27" i="2"/>
  <c r="J40" i="2"/>
  <c r="T26" i="2" s="1"/>
  <c r="F38" i="2"/>
  <c r="F40" i="2"/>
  <c r="F39" i="2"/>
  <c r="Q13" i="6"/>
  <c r="Q14" i="6"/>
  <c r="F18" i="6"/>
  <c r="F24" i="6" s="1"/>
  <c r="M14" i="6"/>
  <c r="F22" i="6"/>
  <c r="AA12" i="6"/>
  <c r="W12" i="6"/>
  <c r="W11" i="6" s="1"/>
  <c r="G21" i="6" s="1"/>
  <c r="G24" i="6" s="1"/>
  <c r="F20" i="6"/>
  <c r="Q46" i="6"/>
  <c r="Q47" i="6"/>
  <c r="M47" i="6"/>
  <c r="Q34" i="6"/>
  <c r="Q35" i="6"/>
  <c r="M35" i="6"/>
  <c r="G19" i="6"/>
  <c r="M26" i="6"/>
  <c r="M27" i="6"/>
  <c r="Q27" i="6"/>
  <c r="P58" i="6"/>
  <c r="L62" i="6"/>
  <c r="L58" i="6"/>
  <c r="F79" i="5"/>
  <c r="J79" i="5" s="1"/>
  <c r="J71" i="5" s="1"/>
  <c r="F63" i="5"/>
  <c r="J63" i="5" s="1"/>
  <c r="J56" i="5" s="1"/>
  <c r="G33" i="5"/>
  <c r="L33" i="5" s="1"/>
  <c r="L32" i="5" s="1"/>
  <c r="L8" i="5"/>
  <c r="H44" i="5" s="1"/>
  <c r="I49" i="5" s="1"/>
  <c r="G8" i="5"/>
  <c r="H40" i="5" s="1"/>
  <c r="I40" i="5" s="1"/>
  <c r="G5" i="5"/>
  <c r="G16" i="5" s="1"/>
  <c r="L16" i="5" s="1"/>
  <c r="E46" i="3"/>
  <c r="E44" i="3"/>
  <c r="E43" i="3"/>
  <c r="E40" i="3"/>
  <c r="E39" i="3"/>
  <c r="E36" i="3"/>
  <c r="E35" i="3"/>
  <c r="K24" i="3"/>
  <c r="H26" i="3"/>
  <c r="F26" i="3"/>
  <c r="H25" i="3"/>
  <c r="H24" i="3"/>
  <c r="I22" i="3"/>
  <c r="K21" i="3"/>
  <c r="K20" i="3"/>
  <c r="K22" i="3" s="1"/>
  <c r="E20" i="3"/>
  <c r="K18" i="3"/>
  <c r="H18" i="3"/>
  <c r="F16" i="3"/>
  <c r="K12" i="3"/>
  <c r="I12" i="3"/>
  <c r="K14" i="3"/>
  <c r="H15" i="3"/>
  <c r="H14" i="3"/>
  <c r="H16" i="3" s="1"/>
  <c r="E10" i="3"/>
  <c r="K8" i="3"/>
  <c r="N18" i="2"/>
  <c r="T18" i="2" s="1"/>
  <c r="M18" i="2"/>
  <c r="S18" i="2" s="1"/>
  <c r="O5" i="2"/>
  <c r="F20" i="2" s="1"/>
  <c r="S15" i="2" s="1"/>
  <c r="O6" i="2"/>
  <c r="F21" i="2" s="1"/>
  <c r="T15" i="2" s="1"/>
  <c r="O4" i="2"/>
  <c r="F19" i="2" s="1"/>
  <c r="G10" i="2"/>
  <c r="G15" i="2"/>
  <c r="K6" i="2"/>
  <c r="K5" i="2"/>
  <c r="K4" i="2"/>
  <c r="K40" i="2" l="1"/>
  <c r="K39" i="2"/>
  <c r="K38" i="2"/>
  <c r="J39" i="2"/>
  <c r="S26" i="2" s="1"/>
  <c r="J38" i="2"/>
  <c r="R26" i="2" s="1"/>
  <c r="G16" i="2"/>
  <c r="S17" i="2"/>
  <c r="T16" i="2"/>
  <c r="H24" i="6"/>
  <c r="I51" i="5"/>
  <c r="L11" i="5"/>
  <c r="G21" i="2"/>
  <c r="G22" i="2" s="1"/>
  <c r="R15" i="2"/>
  <c r="S31" i="2"/>
  <c r="M31" i="2" s="1"/>
  <c r="R18" i="2" l="1"/>
  <c r="L18" i="2" s="1"/>
  <c r="L17" i="2" s="1"/>
  <c r="T31" i="2" l="1"/>
  <c r="N31" i="2" s="1"/>
  <c r="H21" i="4" l="1"/>
  <c r="G21" i="4" l="1"/>
  <c r="E21" i="4" l="1"/>
  <c r="F21" i="4"/>
  <c r="C35" i="4" s="1"/>
  <c r="C38" i="4" s="1"/>
  <c r="C29" i="4" l="1"/>
  <c r="C32" i="4"/>
</calcChain>
</file>

<file path=xl/sharedStrings.xml><?xml version="1.0" encoding="utf-8"?>
<sst xmlns="http://schemas.openxmlformats.org/spreadsheetml/2006/main" count="258" uniqueCount="140">
  <si>
    <t>=</t>
  </si>
  <si>
    <t>ලාභය</t>
  </si>
  <si>
    <t>ප්‍රග්ධන පොලි</t>
  </si>
  <si>
    <t>ලාභ කොටස්</t>
  </si>
  <si>
    <t>වේතන</t>
  </si>
  <si>
    <t>(-)</t>
  </si>
  <si>
    <t>N</t>
  </si>
  <si>
    <t>Y</t>
  </si>
  <si>
    <t>ජංගම ගිණුම</t>
  </si>
  <si>
    <t>ශේෂය</t>
  </si>
  <si>
    <t>ගැනිලි</t>
  </si>
  <si>
    <t>ප්‍රාග්ධන පොලි</t>
  </si>
  <si>
    <t>ප්‍රාග්ධන ගිණුම</t>
  </si>
  <si>
    <t>බෙදිය හැකි ලාභය</t>
  </si>
  <si>
    <t>කිර්ති නාම ගැලපිම්</t>
  </si>
  <si>
    <t xml:space="preserve"> ණය </t>
  </si>
  <si>
    <t>S</t>
  </si>
  <si>
    <t>A)</t>
  </si>
  <si>
    <t xml:space="preserve">දිනය </t>
  </si>
  <si>
    <t xml:space="preserve">ලැබීම් </t>
  </si>
  <si>
    <t xml:space="preserve">ශේෂය </t>
  </si>
  <si>
    <t xml:space="preserve">ඒකක ගණන </t>
  </si>
  <si>
    <t xml:space="preserve">ඒකකයක මිල </t>
  </si>
  <si>
    <t>මුළු වටිනාකම</t>
  </si>
  <si>
    <t>03/01</t>
  </si>
  <si>
    <t>03/12</t>
  </si>
  <si>
    <t xml:space="preserve">නිකුත් කිරීම් </t>
  </si>
  <si>
    <t>03/18</t>
  </si>
  <si>
    <t>03/22</t>
  </si>
  <si>
    <t>03/28</t>
  </si>
  <si>
    <t>B)</t>
  </si>
  <si>
    <t>ද්‍රව්‍ය පිරිවැය</t>
  </si>
  <si>
    <t>ඍජු ශ්‍රම පිරිවැය</t>
  </si>
  <si>
    <t>X</t>
  </si>
  <si>
    <t>10*100</t>
  </si>
  <si>
    <t>12*120</t>
  </si>
  <si>
    <t>විචල්‍ය පොදුකාර්ය</t>
  </si>
  <si>
    <t>(20000/500)*100</t>
  </si>
  <si>
    <t>(28000/400)*120</t>
  </si>
  <si>
    <t>ස්ථාවර පොදුකාර්ය</t>
  </si>
  <si>
    <t>(78000/5000)*100</t>
  </si>
  <si>
    <t>(78000/5000)*120</t>
  </si>
  <si>
    <t xml:space="preserve">විස්තරය </t>
  </si>
  <si>
    <t xml:space="preserve">පදනම </t>
  </si>
  <si>
    <t xml:space="preserve">එකතුව </t>
  </si>
  <si>
    <t>නිෂ්පාදන අංශ</t>
  </si>
  <si>
    <t>කැපීම්</t>
  </si>
  <si>
    <t>මැහුම්</t>
  </si>
  <si>
    <t>සේවා අංශ</t>
  </si>
  <si>
    <t>ගබඩා</t>
  </si>
  <si>
    <t>නඩත්තු</t>
  </si>
  <si>
    <t xml:space="preserve">වක්‍ර පිරිවැය </t>
  </si>
  <si>
    <t>ඍජු</t>
  </si>
  <si>
    <t>විදුලි හා  ආලෝක</t>
  </si>
  <si>
    <t>බිම් ප්‍රමාණය ( 104:84:52:2)</t>
  </si>
  <si>
    <t>ආරක්ෂක ගාස්තු</t>
  </si>
  <si>
    <t>සේවක සංක්‍යාව ( 100:50:20:5)</t>
  </si>
  <si>
    <t xml:space="preserve">ගොඩනැගිලි  කුලී </t>
  </si>
  <si>
    <r>
      <t>යන්ත්‍ර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Iskoola Pota"/>
        <family val="2"/>
      </rPr>
      <t>රක්ෂණ</t>
    </r>
    <r>
      <rPr>
        <sz val="12"/>
        <color theme="1"/>
        <rFont val="Calibri"/>
        <family val="2"/>
        <scheme val="minor"/>
      </rPr>
      <t xml:space="preserve"> </t>
    </r>
  </si>
  <si>
    <t>යන්ත්‍ර පිරිවැය (10:5:2)</t>
  </si>
  <si>
    <t>සුපරික්ෂන ගාස්තු</t>
  </si>
  <si>
    <t>මුළු පොදුකාර්ය පිරිවැය</t>
  </si>
  <si>
    <t>අයවයගත පොදුකාර්ය පිරිවැය</t>
  </si>
  <si>
    <t xml:space="preserve">අන්තර්ගහන අනුපාතය. = </t>
  </si>
  <si>
    <r>
      <t>අයවයගත ඍජු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Iskoola Pota"/>
        <family val="2"/>
      </rPr>
      <t>ශ්‍රම පැය</t>
    </r>
  </si>
  <si>
    <t xml:space="preserve">කැපීම් = </t>
  </si>
  <si>
    <t>මැහුම් =</t>
  </si>
  <si>
    <t>මුහුණු  ආවරණයක පිරිවැය</t>
  </si>
  <si>
    <t>පොදුකාර්ය පිරිවැය</t>
  </si>
  <si>
    <t>28.10*0.5</t>
  </si>
  <si>
    <t>8.19*1</t>
  </si>
  <si>
    <t>1.</t>
  </si>
  <si>
    <t>සාමාජික මුදල් ගිණුම</t>
  </si>
  <si>
    <t xml:space="preserve">ශේ/ඉ/ගෙ </t>
  </si>
  <si>
    <t xml:space="preserve">ශේ/ප/ගෙ </t>
  </si>
  <si>
    <t>(ඉදිරියට ගෙවූ)</t>
  </si>
  <si>
    <t>(හිග)</t>
  </si>
  <si>
    <t>ලැබීම් හා ගෙවීම් ගිණුම</t>
  </si>
  <si>
    <t xml:space="preserve">අදායම් හා වියදම් ප්‍රකාශනය </t>
  </si>
  <si>
    <t>අදායම්</t>
  </si>
  <si>
    <t>වියදම්</t>
  </si>
  <si>
    <t>සාමාජික අදායම්</t>
  </si>
  <si>
    <t>(400*1000)</t>
  </si>
  <si>
    <t>කපා හැරීම්</t>
  </si>
  <si>
    <t>(5*1000)</t>
  </si>
  <si>
    <t>මුදල්</t>
  </si>
  <si>
    <t>ලිපි ද්‍රව්‍ය</t>
  </si>
  <si>
    <t>ක්‍රීඩා උපකරණ</t>
  </si>
  <si>
    <t>වැටුප්</t>
  </si>
  <si>
    <t xml:space="preserve">ප්‍රචරනය </t>
  </si>
  <si>
    <t>උපචිත විදුලිය</t>
  </si>
  <si>
    <t>සාමාජික මුදල්</t>
  </si>
  <si>
    <t>ක්ෂය</t>
  </si>
  <si>
    <t>විදුලි ගාස්තු</t>
  </si>
  <si>
    <t>විදුලිය</t>
  </si>
  <si>
    <t xml:space="preserve">අතිරික්තය </t>
  </si>
  <si>
    <t>ශේෂ පිරික්සුම</t>
  </si>
  <si>
    <t>මුදල් ගිණුම</t>
  </si>
  <si>
    <t>ප්‍රග්දනය</t>
  </si>
  <si>
    <t>ප්‍රග්දන ගිණුම</t>
  </si>
  <si>
    <t>මෝටර් රථ ගිණුම</t>
  </si>
  <si>
    <t>ඉන්ධන</t>
  </si>
  <si>
    <t>ඉන්ධන වියදම් ගිණුම</t>
  </si>
  <si>
    <t>ප්‍රචාරණ</t>
  </si>
  <si>
    <t xml:space="preserve">විකුණුම් ගිණුම </t>
  </si>
  <si>
    <t xml:space="preserve">ලිපි ද්‍රව්‍ය </t>
  </si>
  <si>
    <t xml:space="preserve">විෂබීජ නාශක </t>
  </si>
  <si>
    <t>වැටුප</t>
  </si>
  <si>
    <t>ප්‍රචාරණ වියදම්</t>
  </si>
  <si>
    <t>විදුලි වියදම</t>
  </si>
  <si>
    <t>ජල වියදම</t>
  </si>
  <si>
    <t>කුලී වියදම</t>
  </si>
  <si>
    <t>ගෙවිය යුතු විදුලි වියදම</t>
  </si>
  <si>
    <t>ගෙවිය යුතු ජල වියදම</t>
  </si>
  <si>
    <t xml:space="preserve">ක්ෂය ගණනය කිරීම </t>
  </si>
  <si>
    <t xml:space="preserve">මෝටර් රථ පිරිවැය </t>
  </si>
  <si>
    <t>ඵල්‍දායි ජීව කාල්‍ය</t>
  </si>
  <si>
    <t xml:space="preserve">වාර්ෂික ක්ෂය </t>
  </si>
  <si>
    <t>අතගෝස්තු මාසය සදහා</t>
  </si>
  <si>
    <t>200,000/12</t>
  </si>
  <si>
    <t xml:space="preserve">ගැනිලි </t>
  </si>
  <si>
    <t xml:space="preserve">ණය ගිණුම </t>
  </si>
  <si>
    <t xml:space="preserve">නය පොලි ගණනය කිරීම </t>
  </si>
  <si>
    <t>නය</t>
  </si>
  <si>
    <t xml:space="preserve">පොලි ප්‍රතිසතය </t>
  </si>
  <si>
    <t>පොලි</t>
  </si>
  <si>
    <t>ගෙවිය යුතු පොලි</t>
  </si>
  <si>
    <t>ඉඩම්</t>
  </si>
  <si>
    <t>ගොඩනැගිලි</t>
  </si>
  <si>
    <t>මෝටර් රථ</t>
  </si>
  <si>
    <r>
      <t>ලාභ</t>
    </r>
    <r>
      <rPr>
        <sz val="12"/>
        <rFont val="Calibri"/>
        <family val="2"/>
        <scheme val="minor"/>
      </rPr>
      <t>'</t>
    </r>
    <r>
      <rPr>
        <sz val="12"/>
        <rFont val="Iskoola Pota"/>
        <family val="2"/>
      </rPr>
      <t>ලාභ විශර්ජන ප්‍රකාශනය</t>
    </r>
  </si>
  <si>
    <r>
      <t>ඍජු</t>
    </r>
    <r>
      <rPr>
        <sz val="12"/>
        <rFont val="Calibri"/>
        <family val="2"/>
        <scheme val="minor"/>
      </rPr>
      <t xml:space="preserve"> </t>
    </r>
    <r>
      <rPr>
        <sz val="12"/>
        <rFont val="Iskoola Pota"/>
        <family val="2"/>
      </rPr>
      <t xml:space="preserve">  ද්‍රව්‍ය</t>
    </r>
    <r>
      <rPr>
        <sz val="12"/>
        <rFont val="Calibri"/>
        <family val="2"/>
        <scheme val="minor"/>
      </rPr>
      <t xml:space="preserve"> </t>
    </r>
  </si>
  <si>
    <r>
      <t>ඍජු</t>
    </r>
    <r>
      <rPr>
        <sz val="12"/>
        <rFont val="Calibri"/>
        <family val="2"/>
        <scheme val="minor"/>
      </rPr>
      <t xml:space="preserve"> </t>
    </r>
    <r>
      <rPr>
        <sz val="12"/>
        <rFont val="Iskoola Pota"/>
        <family val="2"/>
      </rPr>
      <t>ශ්‍රම</t>
    </r>
    <r>
      <rPr>
        <sz val="12"/>
        <rFont val="Calibri"/>
        <family val="2"/>
        <scheme val="minor"/>
      </rPr>
      <t xml:space="preserve"> </t>
    </r>
  </si>
  <si>
    <t>ප්‍රත්‍යගණනය</t>
  </si>
  <si>
    <t>වත්කම</t>
  </si>
  <si>
    <t xml:space="preserve">ධාරණ අගය </t>
  </si>
  <si>
    <t>ප්‍රත්යගණන අගය</t>
  </si>
  <si>
    <t xml:space="preserve">ලාභය </t>
  </si>
  <si>
    <t xml:space="preserve">ද්විතික විභජනය  - 60% , 40% </t>
  </si>
  <si>
    <t>ද්විතික විභජනය  - 50%,50%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</si>
</sst>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Iskoola Pota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Accounting"/>
      <sz val="11"/>
      <name val="Calibri"/>
      <family val="2"/>
      <scheme val="minor"/>
    </font>
    <font>
      <sz val="12"/>
      <name val="Iskoola Pota"/>
      <family val="2"/>
    </font>
    <font>
      <sz val="12"/>
      <name val="Calibri"/>
      <family val="2"/>
      <scheme val="minor"/>
    </font>
    <font>
      <sz val="11"/>
      <color theme="1"/>
      <name val="Iskoola Pota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9">
    <xf numFmtId="0" fontId="0" fillId="0" borderId="0" xfId="0"/>
    <xf numFmtId="0" fontId="0" fillId="2" borderId="0" xfId="0" applyFill="1"/>
    <xf numFmtId="43" fontId="0" fillId="0" borderId="0" xfId="1" applyFont="1"/>
    <xf numFmtId="0" fontId="0" fillId="0" borderId="2" xfId="0" applyBorder="1"/>
    <xf numFmtId="0" fontId="0" fillId="0" borderId="0" xfId="0" quotePrefix="1"/>
    <xf numFmtId="164" fontId="0" fillId="0" borderId="0" xfId="1" applyNumberFormat="1" applyFont="1"/>
    <xf numFmtId="43" fontId="0" fillId="0" borderId="0" xfId="1" quotePrefix="1" applyFont="1"/>
    <xf numFmtId="0" fontId="3" fillId="0" borderId="0" xfId="0" applyFont="1"/>
    <xf numFmtId="0" fontId="0" fillId="2" borderId="0" xfId="0" quotePrefix="1" applyFill="1"/>
    <xf numFmtId="0" fontId="0" fillId="0" borderId="3" xfId="0" applyBorder="1"/>
    <xf numFmtId="0" fontId="0" fillId="0" borderId="4" xfId="0" applyBorder="1"/>
    <xf numFmtId="164" fontId="4" fillId="0" borderId="4" xfId="1" applyNumberFormat="1" applyFont="1" applyBorder="1"/>
    <xf numFmtId="0" fontId="4" fillId="2" borderId="0" xfId="0" applyFont="1" applyFill="1"/>
    <xf numFmtId="0" fontId="4" fillId="0" borderId="0" xfId="0" quotePrefix="1" applyFont="1"/>
    <xf numFmtId="0" fontId="4" fillId="0" borderId="0" xfId="0" applyFont="1"/>
    <xf numFmtId="164" fontId="4" fillId="0" borderId="0" xfId="1" applyNumberFormat="1" applyFont="1"/>
    <xf numFmtId="164" fontId="4" fillId="0" borderId="3" xfId="1" applyNumberFormat="1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164" fontId="4" fillId="0" borderId="10" xfId="1" applyNumberFormat="1" applyFont="1" applyBorder="1"/>
    <xf numFmtId="164" fontId="4" fillId="0" borderId="0" xfId="1" applyNumberFormat="1" applyFont="1" applyBorder="1"/>
    <xf numFmtId="0" fontId="4" fillId="0" borderId="10" xfId="0" applyFont="1" applyBorder="1"/>
    <xf numFmtId="164" fontId="4" fillId="0" borderId="11" xfId="1" applyNumberFormat="1" applyFont="1" applyBorder="1"/>
    <xf numFmtId="164" fontId="4" fillId="0" borderId="10" xfId="0" applyNumberFormat="1" applyFont="1" applyBorder="1"/>
    <xf numFmtId="164" fontId="4" fillId="3" borderId="3" xfId="1" applyNumberFormat="1" applyFont="1" applyFill="1" applyBorder="1"/>
    <xf numFmtId="164" fontId="4" fillId="0" borderId="12" xfId="0" applyNumberFormat="1" applyFon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4" fillId="0" borderId="9" xfId="0" applyFont="1" applyBorder="1"/>
    <xf numFmtId="0" fontId="4" fillId="0" borderId="3" xfId="0" applyFont="1" applyBorder="1"/>
    <xf numFmtId="164" fontId="0" fillId="0" borderId="9" xfId="1" applyNumberFormat="1" applyFont="1" applyBorder="1"/>
    <xf numFmtId="43" fontId="4" fillId="0" borderId="10" xfId="1" applyFont="1" applyBorder="1"/>
    <xf numFmtId="164" fontId="4" fillId="0" borderId="0" xfId="1" applyNumberFormat="1" applyFont="1" applyFill="1"/>
    <xf numFmtId="164" fontId="4" fillId="3" borderId="12" xfId="1" applyNumberFormat="1" applyFont="1" applyFill="1" applyBorder="1"/>
    <xf numFmtId="16" fontId="0" fillId="0" borderId="7" xfId="0" quotePrefix="1" applyNumberFormat="1" applyBorder="1"/>
    <xf numFmtId="0" fontId="0" fillId="0" borderId="7" xfId="0" quotePrefix="1" applyBorder="1"/>
    <xf numFmtId="43" fontId="0" fillId="0" borderId="7" xfId="1" applyFont="1" applyBorder="1"/>
    <xf numFmtId="43" fontId="0" fillId="0" borderId="7" xfId="0" applyNumberFormat="1" applyBorder="1"/>
    <xf numFmtId="43" fontId="0" fillId="0" borderId="15" xfId="1" applyFont="1" applyBorder="1"/>
    <xf numFmtId="0" fontId="0" fillId="0" borderId="12" xfId="0" applyBorder="1"/>
    <xf numFmtId="43" fontId="0" fillId="0" borderId="12" xfId="1" applyFont="1" applyBorder="1"/>
    <xf numFmtId="43" fontId="0" fillId="0" borderId="12" xfId="0" applyNumberFormat="1" applyBorder="1"/>
    <xf numFmtId="43" fontId="0" fillId="2" borderId="15" xfId="1" applyFont="1" applyFill="1" applyBorder="1"/>
    <xf numFmtId="43" fontId="0" fillId="3" borderId="1" xfId="1" applyFont="1" applyFill="1" applyBorder="1"/>
    <xf numFmtId="0" fontId="3" fillId="0" borderId="7" xfId="0" applyFont="1" applyBorder="1"/>
    <xf numFmtId="164" fontId="3" fillId="0" borderId="0" xfId="1" applyNumberFormat="1" applyFont="1"/>
    <xf numFmtId="164" fontId="3" fillId="0" borderId="7" xfId="1" applyNumberFormat="1" applyFont="1" applyBorder="1"/>
    <xf numFmtId="164" fontId="0" fillId="0" borderId="7" xfId="1" applyNumberFormat="1" applyFont="1" applyBorder="1"/>
    <xf numFmtId="0" fontId="3" fillId="0" borderId="0" xfId="0" applyFont="1" applyAlignment="1">
      <alignment vertical="center"/>
    </xf>
    <xf numFmtId="164" fontId="0" fillId="0" borderId="15" xfId="1" applyNumberFormat="1" applyFont="1" applyBorder="1"/>
    <xf numFmtId="164" fontId="0" fillId="0" borderId="19" xfId="1" applyNumberFormat="1" applyFont="1" applyBorder="1"/>
    <xf numFmtId="0" fontId="0" fillId="0" borderId="20" xfId="0" applyBorder="1"/>
    <xf numFmtId="0" fontId="0" fillId="0" borderId="0" xfId="0" quotePrefix="1" applyAlignment="1">
      <alignment horizontal="right"/>
    </xf>
    <xf numFmtId="164" fontId="3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0" fontId="3" fillId="2" borderId="0" xfId="0" applyFont="1" applyFill="1"/>
    <xf numFmtId="164" fontId="0" fillId="2" borderId="0" xfId="1" applyNumberFormat="1" applyFont="1" applyFill="1"/>
    <xf numFmtId="164" fontId="0" fillId="0" borderId="0" xfId="1" quotePrefix="1" applyNumberFormat="1" applyFont="1"/>
    <xf numFmtId="164" fontId="0" fillId="0" borderId="4" xfId="1" applyNumberFormat="1" applyFont="1" applyBorder="1"/>
    <xf numFmtId="164" fontId="0" fillId="0" borderId="3" xfId="1" applyNumberFormat="1" applyFont="1" applyBorder="1"/>
    <xf numFmtId="164" fontId="0" fillId="0" borderId="21" xfId="1" applyNumberFormat="1" applyFont="1" applyBorder="1"/>
    <xf numFmtId="164" fontId="0" fillId="0" borderId="6" xfId="1" applyNumberFormat="1" applyFont="1" applyBorder="1"/>
    <xf numFmtId="164" fontId="0" fillId="0" borderId="1" xfId="1" applyNumberFormat="1" applyFont="1" applyBorder="1"/>
    <xf numFmtId="164" fontId="0" fillId="0" borderId="2" xfId="1" applyNumberFormat="1" applyFont="1" applyBorder="1"/>
    <xf numFmtId="164" fontId="0" fillId="0" borderId="0" xfId="1" applyNumberFormat="1" applyFont="1" applyBorder="1"/>
    <xf numFmtId="0" fontId="0" fillId="0" borderId="22" xfId="0" applyBorder="1"/>
    <xf numFmtId="164" fontId="0" fillId="0" borderId="10" xfId="0" applyNumberFormat="1" applyBorder="1"/>
    <xf numFmtId="0" fontId="3" fillId="0" borderId="9" xfId="0" applyFont="1" applyBorder="1"/>
    <xf numFmtId="0" fontId="0" fillId="0" borderId="23" xfId="0" applyBorder="1"/>
    <xf numFmtId="164" fontId="0" fillId="3" borderId="0" xfId="1" applyNumberFormat="1" applyFont="1" applyFill="1"/>
    <xf numFmtId="164" fontId="3" fillId="0" borderId="5" xfId="1" applyNumberFormat="1" applyFont="1" applyBorder="1"/>
    <xf numFmtId="164" fontId="0" fillId="0" borderId="18" xfId="1" applyNumberFormat="1" applyFont="1" applyBorder="1"/>
    <xf numFmtId="164" fontId="0" fillId="0" borderId="10" xfId="1" applyNumberFormat="1" applyFont="1" applyBorder="1"/>
    <xf numFmtId="164" fontId="0" fillId="0" borderId="21" xfId="0" applyNumberFormat="1" applyBorder="1"/>
    <xf numFmtId="164" fontId="0" fillId="0" borderId="1" xfId="0" applyNumberFormat="1" applyBorder="1"/>
    <xf numFmtId="164" fontId="0" fillId="0" borderId="6" xfId="0" applyNumberFormat="1" applyBorder="1"/>
    <xf numFmtId="164" fontId="0" fillId="0" borderId="11" xfId="1" applyNumberFormat="1" applyFont="1" applyBorder="1"/>
    <xf numFmtId="164" fontId="0" fillId="0" borderId="24" xfId="0" applyNumberFormat="1" applyBorder="1"/>
    <xf numFmtId="164" fontId="0" fillId="3" borderId="12" xfId="0" applyNumberFormat="1" applyFill="1" applyBorder="1"/>
    <xf numFmtId="0" fontId="3" fillId="0" borderId="6" xfId="0" applyFont="1" applyBorder="1"/>
    <xf numFmtId="164" fontId="3" fillId="0" borderId="0" xfId="1" applyNumberFormat="1" applyFont="1" applyBorder="1"/>
    <xf numFmtId="164" fontId="0" fillId="0" borderId="14" xfId="1" applyNumberFormat="1" applyFont="1" applyBorder="1"/>
    <xf numFmtId="0" fontId="0" fillId="3" borderId="0" xfId="0" applyFill="1"/>
    <xf numFmtId="43" fontId="0" fillId="0" borderId="0" xfId="1" applyFont="1" applyBorder="1"/>
    <xf numFmtId="0" fontId="0" fillId="0" borderId="0" xfId="0" applyAlignment="1">
      <alignment horizontal="center"/>
    </xf>
    <xf numFmtId="164" fontId="0" fillId="2" borderId="0" xfId="1" applyNumberFormat="1" applyFont="1" applyFill="1" applyBorder="1"/>
    <xf numFmtId="9" fontId="0" fillId="0" borderId="0" xfId="0" applyNumberFormat="1"/>
    <xf numFmtId="164" fontId="3" fillId="0" borderId="9" xfId="1" applyNumberFormat="1" applyFont="1" applyBorder="1"/>
    <xf numFmtId="164" fontId="0" fillId="0" borderId="3" xfId="0" applyNumberFormat="1" applyBorder="1"/>
    <xf numFmtId="164" fontId="0" fillId="0" borderId="0" xfId="0" applyNumberFormat="1"/>
    <xf numFmtId="164" fontId="6" fillId="0" borderId="6" xfId="1" applyNumberFormat="1" applyFont="1" applyBorder="1"/>
    <xf numFmtId="164" fontId="6" fillId="0" borderId="0" xfId="1" applyNumberFormat="1" applyFont="1"/>
    <xf numFmtId="164" fontId="6" fillId="0" borderId="3" xfId="1" applyNumberFormat="1" applyFont="1" applyBorder="1"/>
    <xf numFmtId="164" fontId="6" fillId="0" borderId="4" xfId="1" applyNumberFormat="1" applyFont="1" applyBorder="1"/>
    <xf numFmtId="0" fontId="4" fillId="0" borderId="2" xfId="0" applyFont="1" applyBorder="1"/>
    <xf numFmtId="0" fontId="4" fillId="0" borderId="13" xfId="0" applyFont="1" applyBorder="1"/>
    <xf numFmtId="164" fontId="4" fillId="0" borderId="2" xfId="1" applyNumberFormat="1" applyFont="1" applyBorder="1"/>
    <xf numFmtId="0" fontId="4" fillId="0" borderId="6" xfId="0" applyFont="1" applyBorder="1"/>
    <xf numFmtId="43" fontId="4" fillId="0" borderId="3" xfId="1" applyFont="1" applyBorder="1"/>
    <xf numFmtId="164" fontId="4" fillId="0" borderId="9" xfId="1" applyNumberFormat="1" applyFont="1" applyBorder="1"/>
    <xf numFmtId="43" fontId="2" fillId="0" borderId="0" xfId="1" applyFont="1" applyFill="1"/>
    <xf numFmtId="164" fontId="4" fillId="0" borderId="12" xfId="1" applyNumberFormat="1" applyFont="1" applyBorder="1"/>
    <xf numFmtId="164" fontId="4" fillId="0" borderId="14" xfId="1" applyNumberFormat="1" applyFont="1" applyBorder="1"/>
    <xf numFmtId="0" fontId="8" fillId="0" borderId="2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14" xfId="0" applyFont="1" applyBorder="1"/>
    <xf numFmtId="0" fontId="4" fillId="0" borderId="15" xfId="0" applyFont="1" applyBorder="1"/>
    <xf numFmtId="164" fontId="0" fillId="2" borderId="15" xfId="1" applyNumberFormat="1" applyFont="1" applyFill="1" applyBorder="1"/>
    <xf numFmtId="164" fontId="2" fillId="0" borderId="15" xfId="1" applyNumberFormat="1" applyFont="1" applyBorder="1"/>
    <xf numFmtId="0" fontId="8" fillId="0" borderId="7" xfId="0" applyFont="1" applyBorder="1" applyAlignment="1">
      <alignment vertical="center"/>
    </xf>
    <xf numFmtId="164" fontId="4" fillId="0" borderId="15" xfId="1" applyNumberFormat="1" applyFont="1" applyBorder="1"/>
    <xf numFmtId="164" fontId="4" fillId="3" borderId="15" xfId="1" applyNumberFormat="1" applyFont="1" applyFill="1" applyBorder="1"/>
    <xf numFmtId="164" fontId="2" fillId="0" borderId="0" xfId="1" applyNumberFormat="1" applyFont="1" applyFill="1"/>
    <xf numFmtId="0" fontId="2" fillId="0" borderId="0" xfId="0" applyFont="1"/>
    <xf numFmtId="164" fontId="4" fillId="0" borderId="20" xfId="0" applyNumberFormat="1" applyFont="1" applyBorder="1"/>
    <xf numFmtId="43" fontId="4" fillId="3" borderId="0" xfId="0" applyNumberFormat="1" applyFont="1" applyFill="1"/>
    <xf numFmtId="2" fontId="4" fillId="3" borderId="0" xfId="0" applyNumberFormat="1" applyFont="1" applyFill="1"/>
    <xf numFmtId="0" fontId="8" fillId="0" borderId="0" xfId="0" applyFont="1"/>
    <xf numFmtId="43" fontId="4" fillId="0" borderId="0" xfId="1" applyFont="1" applyFill="1"/>
    <xf numFmtId="164" fontId="7" fillId="0" borderId="0" xfId="1" applyNumberFormat="1" applyFont="1" applyFill="1"/>
    <xf numFmtId="164" fontId="8" fillId="0" borderId="0" xfId="1" applyNumberFormat="1" applyFont="1" applyFill="1"/>
    <xf numFmtId="164" fontId="4" fillId="0" borderId="0" xfId="1" quotePrefix="1" applyNumberFormat="1" applyFont="1" applyFill="1"/>
    <xf numFmtId="43" fontId="4" fillId="3" borderId="0" xfId="1" applyFont="1" applyFill="1"/>
    <xf numFmtId="0" fontId="10" fillId="0" borderId="25" xfId="0" applyFont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164" fontId="10" fillId="0" borderId="25" xfId="1" applyNumberFormat="1" applyFont="1" applyBorder="1" applyAlignment="1">
      <alignment vertical="center" wrapText="1"/>
    </xf>
    <xf numFmtId="164" fontId="10" fillId="0" borderId="26" xfId="1" applyNumberFormat="1" applyFont="1" applyBorder="1" applyAlignment="1">
      <alignment vertical="center" wrapText="1"/>
    </xf>
    <xf numFmtId="0" fontId="10" fillId="0" borderId="25" xfId="0" applyFont="1" applyBorder="1" applyAlignment="1">
      <alignment horizontal="left" vertical="center"/>
    </xf>
    <xf numFmtId="3" fontId="0" fillId="0" borderId="26" xfId="0" applyNumberFormat="1" applyBorder="1" applyAlignment="1">
      <alignment horizontal="left" vertical="center" indent="7"/>
    </xf>
    <xf numFmtId="1" fontId="4" fillId="0" borderId="10" xfId="0" applyNumberFormat="1" applyFont="1" applyBorder="1"/>
    <xf numFmtId="1" fontId="4" fillId="0" borderId="0" xfId="0" applyNumberFormat="1" applyFont="1"/>
    <xf numFmtId="1" fontId="4" fillId="0" borderId="12" xfId="0" applyNumberFormat="1" applyFont="1" applyBorder="1"/>
    <xf numFmtId="0" fontId="0" fillId="0" borderId="1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64" fontId="3" fillId="0" borderId="16" xfId="1" applyNumberFormat="1" applyFont="1" applyBorder="1" applyAlignment="1">
      <alignment horizontal="center"/>
    </xf>
    <xf numFmtId="164" fontId="3" fillId="0" borderId="17" xfId="1" applyNumberFormat="1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0" fillId="0" borderId="18" xfId="1" applyNumberFormat="1" applyFont="1" applyBorder="1" applyAlignment="1">
      <alignment horizontal="center" vertical="center"/>
    </xf>
    <xf numFmtId="164" fontId="0" fillId="0" borderId="15" xfId="1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0"/>
  <sheetViews>
    <sheetView tabSelected="1" zoomScaleNormal="100" zoomScaleSheetLayoutView="100" workbookViewId="0">
      <selection activeCell="B1" sqref="A1:B1"/>
    </sheetView>
  </sheetViews>
  <sheetFormatPr defaultRowHeight="15" x14ac:dyDescent="0.25"/>
  <cols>
    <col min="1" max="1" width="3.28515625" style="14" customWidth="1"/>
    <col min="2" max="3" width="11.7109375" style="14" customWidth="1"/>
    <col min="4" max="4" width="12.5703125" style="14" customWidth="1"/>
    <col min="5" max="5" width="19.140625" style="14" customWidth="1"/>
    <col min="6" max="6" width="19.140625" style="15" bestFit="1" customWidth="1"/>
    <col min="7" max="7" width="11.5703125" style="15" bestFit="1" customWidth="1"/>
    <col min="8" max="8" width="3.28515625" style="14" customWidth="1"/>
    <col min="9" max="9" width="9.140625" style="14"/>
    <col min="10" max="10" width="13.28515625" style="14" bestFit="1" customWidth="1"/>
    <col min="11" max="11" width="9.140625" style="14"/>
    <col min="12" max="12" width="13.42578125" style="14" customWidth="1"/>
    <col min="13" max="13" width="12" style="14" customWidth="1"/>
    <col min="14" max="14" width="12.7109375" style="14" customWidth="1"/>
    <col min="15" max="15" width="11.5703125" style="15" bestFit="1" customWidth="1"/>
    <col min="16" max="17" width="9.140625" style="14"/>
    <col min="18" max="20" width="13.28515625" style="14" bestFit="1" customWidth="1"/>
    <col min="21" max="16384" width="9.140625" style="14"/>
  </cols>
  <sheetData>
    <row r="2" spans="1:20" ht="15.75" x14ac:dyDescent="0.25">
      <c r="B2" s="97"/>
      <c r="C2" s="106" t="s">
        <v>130</v>
      </c>
      <c r="D2" s="97"/>
      <c r="E2" s="97"/>
      <c r="F2" s="99"/>
      <c r="G2" s="99"/>
    </row>
    <row r="3" spans="1:20" x14ac:dyDescent="0.25">
      <c r="A3" s="32"/>
      <c r="B3" s="14" t="s">
        <v>1</v>
      </c>
      <c r="E3" s="107"/>
      <c r="F3" s="11"/>
      <c r="G3" s="11">
        <v>1250</v>
      </c>
      <c r="I3" s="12" t="s">
        <v>2</v>
      </c>
      <c r="J3" s="12"/>
      <c r="M3" s="12" t="s">
        <v>3</v>
      </c>
      <c r="N3" s="12"/>
      <c r="Q3" s="12" t="s">
        <v>4</v>
      </c>
    </row>
    <row r="4" spans="1:20" x14ac:dyDescent="0.25">
      <c r="A4" s="32"/>
      <c r="E4" s="32"/>
      <c r="F4" s="16"/>
      <c r="G4" s="16"/>
      <c r="I4" s="14" t="s">
        <v>16</v>
      </c>
      <c r="J4" s="13">
        <v>3000</v>
      </c>
      <c r="K4" s="14">
        <f>+J4*0.1</f>
        <v>300</v>
      </c>
      <c r="M4" s="14" t="s">
        <v>16</v>
      </c>
      <c r="N4" s="14">
        <v>3</v>
      </c>
      <c r="O4" s="15">
        <f>+(91.6666666666667)*N4</f>
        <v>275.00000000000011</v>
      </c>
      <c r="Q4" s="14" t="s">
        <v>16</v>
      </c>
      <c r="R4" s="13">
        <v>100</v>
      </c>
    </row>
    <row r="5" spans="1:20" x14ac:dyDescent="0.25">
      <c r="A5" s="32"/>
      <c r="B5" s="14" t="s">
        <v>5</v>
      </c>
      <c r="E5" s="32"/>
      <c r="F5" s="16"/>
      <c r="G5" s="16"/>
      <c r="I5" s="14" t="s">
        <v>16</v>
      </c>
      <c r="J5" s="13">
        <v>2000</v>
      </c>
      <c r="K5" s="14">
        <f>+J5*0.1</f>
        <v>200</v>
      </c>
      <c r="M5" s="14" t="s">
        <v>16</v>
      </c>
      <c r="N5" s="14">
        <v>2</v>
      </c>
      <c r="O5" s="15">
        <f t="shared" ref="O5:O6" si="0">+(91.6666666666667)*N5</f>
        <v>183.3333333333334</v>
      </c>
      <c r="R5" s="13"/>
    </row>
    <row r="6" spans="1:20" x14ac:dyDescent="0.25">
      <c r="A6" s="32"/>
      <c r="E6" s="32"/>
      <c r="F6" s="16"/>
      <c r="G6" s="16"/>
      <c r="I6" s="14" t="s">
        <v>7</v>
      </c>
      <c r="J6" s="13">
        <v>1000</v>
      </c>
      <c r="K6" s="14">
        <f>+J6*0.1</f>
        <v>100</v>
      </c>
      <c r="M6" s="14" t="s">
        <v>7</v>
      </c>
      <c r="N6" s="14">
        <v>1</v>
      </c>
      <c r="O6" s="15">
        <f t="shared" si="0"/>
        <v>91.6666666666667</v>
      </c>
      <c r="R6" s="13"/>
    </row>
    <row r="7" spans="1:20" x14ac:dyDescent="0.25">
      <c r="A7" s="32"/>
      <c r="B7" s="14" t="s">
        <v>2</v>
      </c>
      <c r="E7" s="32"/>
      <c r="F7" s="16"/>
      <c r="G7" s="16"/>
    </row>
    <row r="8" spans="1:20" x14ac:dyDescent="0.25">
      <c r="A8" s="32"/>
      <c r="B8" s="14" t="s">
        <v>16</v>
      </c>
      <c r="E8" s="32"/>
      <c r="F8" s="16">
        <v>300</v>
      </c>
      <c r="G8" s="16"/>
    </row>
    <row r="9" spans="1:20" x14ac:dyDescent="0.25">
      <c r="A9" s="32"/>
      <c r="B9" s="14" t="s">
        <v>16</v>
      </c>
      <c r="E9" s="32"/>
      <c r="F9" s="16">
        <v>200</v>
      </c>
      <c r="G9" s="16"/>
    </row>
    <row r="10" spans="1:20" x14ac:dyDescent="0.25">
      <c r="A10" s="32"/>
      <c r="B10" s="14" t="s">
        <v>6</v>
      </c>
      <c r="E10" s="32"/>
      <c r="F10" s="16">
        <v>100</v>
      </c>
      <c r="G10" s="16">
        <f>SUM(F8:F10)</f>
        <v>600</v>
      </c>
      <c r="N10" s="12" t="s">
        <v>8</v>
      </c>
      <c r="O10" s="12"/>
    </row>
    <row r="11" spans="1:20" x14ac:dyDescent="0.25">
      <c r="A11" s="32"/>
      <c r="E11" s="32"/>
      <c r="G11" s="21"/>
      <c r="I11" s="108"/>
      <c r="J11" s="100"/>
      <c r="K11" s="107"/>
      <c r="L11" s="109" t="s">
        <v>16</v>
      </c>
      <c r="M11" s="110" t="s">
        <v>16</v>
      </c>
      <c r="N11" s="109" t="s">
        <v>7</v>
      </c>
      <c r="O11" s="100"/>
      <c r="P11" s="100"/>
      <c r="Q11" s="107"/>
      <c r="R11" s="109" t="s">
        <v>16</v>
      </c>
      <c r="S11" s="110" t="s">
        <v>16</v>
      </c>
      <c r="T11" s="109" t="s">
        <v>7</v>
      </c>
    </row>
    <row r="12" spans="1:20" x14ac:dyDescent="0.25">
      <c r="A12" s="32"/>
      <c r="B12" s="14" t="s">
        <v>4</v>
      </c>
      <c r="E12" s="32"/>
      <c r="F12" s="16"/>
      <c r="G12" s="16"/>
      <c r="I12" s="31" t="s">
        <v>9</v>
      </c>
      <c r="K12" s="32"/>
      <c r="L12" s="21">
        <v>0</v>
      </c>
      <c r="M12" s="22">
        <v>200</v>
      </c>
      <c r="N12" s="21">
        <v>300</v>
      </c>
      <c r="O12" s="14" t="s">
        <v>9</v>
      </c>
      <c r="Q12" s="32"/>
      <c r="R12" s="21">
        <v>100</v>
      </c>
      <c r="S12" s="21">
        <v>0</v>
      </c>
      <c r="T12" s="16">
        <v>0</v>
      </c>
    </row>
    <row r="13" spans="1:20" x14ac:dyDescent="0.25">
      <c r="A13" s="32"/>
      <c r="B13" s="14" t="s">
        <v>16</v>
      </c>
      <c r="E13" s="32"/>
      <c r="F13" s="16">
        <v>100</v>
      </c>
      <c r="G13" s="16"/>
      <c r="I13" s="31" t="s">
        <v>10</v>
      </c>
      <c r="K13" s="32"/>
      <c r="L13" s="23">
        <v>100</v>
      </c>
      <c r="M13" s="23">
        <v>200</v>
      </c>
      <c r="N13" s="23">
        <v>0</v>
      </c>
      <c r="O13" s="14" t="s">
        <v>11</v>
      </c>
      <c r="Q13" s="32"/>
      <c r="R13" s="21">
        <v>300</v>
      </c>
      <c r="S13" s="21">
        <v>200</v>
      </c>
      <c r="T13" s="16">
        <v>100</v>
      </c>
    </row>
    <row r="14" spans="1:20" x14ac:dyDescent="0.25">
      <c r="A14" s="32"/>
      <c r="B14" s="14" t="s">
        <v>16</v>
      </c>
      <c r="E14" s="32"/>
      <c r="F14" s="16">
        <v>0</v>
      </c>
      <c r="G14" s="16"/>
      <c r="I14" s="31"/>
      <c r="K14" s="32"/>
      <c r="L14" s="23"/>
      <c r="M14" s="23"/>
      <c r="N14" s="23"/>
      <c r="O14" s="14" t="s">
        <v>4</v>
      </c>
      <c r="Q14" s="32"/>
      <c r="R14" s="21">
        <v>100</v>
      </c>
      <c r="S14" s="21">
        <v>0</v>
      </c>
      <c r="T14" s="16">
        <v>0</v>
      </c>
    </row>
    <row r="15" spans="1:20" ht="15.75" thickBot="1" x14ac:dyDescent="0.3">
      <c r="A15" s="32"/>
      <c r="B15" s="14" t="s">
        <v>7</v>
      </c>
      <c r="E15" s="32"/>
      <c r="F15" s="15">
        <v>0</v>
      </c>
      <c r="G15" s="24">
        <f>SUM(F13:F15)</f>
        <v>100</v>
      </c>
      <c r="I15" s="31"/>
      <c r="K15" s="32"/>
      <c r="L15" s="23"/>
      <c r="M15" s="23"/>
      <c r="N15" s="25"/>
      <c r="O15" s="14" t="s">
        <v>3</v>
      </c>
      <c r="Q15" s="32"/>
      <c r="R15" s="21">
        <f>+F19</f>
        <v>275.00000000000011</v>
      </c>
      <c r="S15" s="21">
        <f>+F20</f>
        <v>183.3333333333334</v>
      </c>
      <c r="T15" s="21">
        <f>+F21</f>
        <v>91.6666666666667</v>
      </c>
    </row>
    <row r="16" spans="1:20" x14ac:dyDescent="0.25">
      <c r="A16" s="32"/>
      <c r="B16" s="14" t="s">
        <v>13</v>
      </c>
      <c r="E16" s="32"/>
      <c r="F16" s="16"/>
      <c r="G16" s="26">
        <f>+G3-G10-G15</f>
        <v>550</v>
      </c>
      <c r="I16" s="31"/>
      <c r="K16" s="32"/>
      <c r="L16" s="23"/>
      <c r="M16" s="23"/>
      <c r="N16" s="25"/>
      <c r="O16" s="31" t="s">
        <v>12</v>
      </c>
      <c r="Q16" s="32"/>
      <c r="R16" s="21">
        <v>0</v>
      </c>
      <c r="S16" s="21">
        <v>0</v>
      </c>
      <c r="T16" s="16">
        <f>+T18-T15-T14-T13-T12</f>
        <v>108.33333333333331</v>
      </c>
    </row>
    <row r="17" spans="1:20" x14ac:dyDescent="0.25">
      <c r="A17" s="32"/>
      <c r="E17" s="32"/>
      <c r="F17" s="16"/>
      <c r="G17" s="16"/>
      <c r="I17" s="31" t="s">
        <v>9</v>
      </c>
      <c r="K17" s="32"/>
      <c r="L17" s="25">
        <f>+L18-L13</f>
        <v>675.00000000000011</v>
      </c>
      <c r="M17" s="25">
        <v>0</v>
      </c>
      <c r="N17" s="25">
        <v>0</v>
      </c>
      <c r="O17" s="31" t="s">
        <v>9</v>
      </c>
      <c r="Q17" s="32"/>
      <c r="R17" s="21">
        <v>0</v>
      </c>
      <c r="S17" s="21">
        <f>+S18-S15-S13</f>
        <v>16.6666666666666</v>
      </c>
      <c r="T17" s="16">
        <v>0</v>
      </c>
    </row>
    <row r="18" spans="1:20" ht="15.75" thickBot="1" x14ac:dyDescent="0.3">
      <c r="A18" s="32"/>
      <c r="B18" s="14" t="s">
        <v>3</v>
      </c>
      <c r="E18" s="32"/>
      <c r="F18" s="16"/>
      <c r="G18" s="16"/>
      <c r="I18" s="31"/>
      <c r="K18" s="32"/>
      <c r="L18" s="27">
        <f>+R18</f>
        <v>775.00000000000011</v>
      </c>
      <c r="M18" s="27">
        <f>SUM(M12:M17)</f>
        <v>400</v>
      </c>
      <c r="N18" s="27">
        <f>SUM(N12:N17)</f>
        <v>300</v>
      </c>
      <c r="O18" s="14"/>
      <c r="Q18" s="32"/>
      <c r="R18" s="27">
        <f>SUM(R12:R17)</f>
        <v>775.00000000000011</v>
      </c>
      <c r="S18" s="27">
        <f>+M18</f>
        <v>400</v>
      </c>
      <c r="T18" s="27">
        <f>+N18</f>
        <v>300</v>
      </c>
    </row>
    <row r="19" spans="1:20" ht="15.75" thickTop="1" x14ac:dyDescent="0.25">
      <c r="A19" s="32"/>
      <c r="B19" s="14" t="s">
        <v>16</v>
      </c>
      <c r="E19" s="32"/>
      <c r="F19" s="16">
        <f>+O4</f>
        <v>275.00000000000011</v>
      </c>
      <c r="G19" s="16"/>
      <c r="I19" s="31"/>
      <c r="K19" s="32"/>
      <c r="L19" s="23"/>
      <c r="N19" s="23"/>
      <c r="O19" s="14"/>
      <c r="Q19" s="32"/>
      <c r="R19" s="23"/>
      <c r="S19" s="23"/>
      <c r="T19" s="32"/>
    </row>
    <row r="20" spans="1:20" x14ac:dyDescent="0.25">
      <c r="A20" s="32"/>
      <c r="B20" s="14" t="s">
        <v>16</v>
      </c>
      <c r="E20" s="32"/>
      <c r="F20" s="16">
        <f t="shared" ref="F20:F21" si="1">+O5</f>
        <v>183.3333333333334</v>
      </c>
      <c r="G20" s="16"/>
      <c r="I20" s="98"/>
      <c r="J20" s="97"/>
      <c r="K20" s="111"/>
      <c r="L20" s="112"/>
      <c r="M20" s="97"/>
      <c r="N20" s="112"/>
      <c r="O20" s="97"/>
      <c r="P20" s="97"/>
      <c r="Q20" s="111"/>
      <c r="R20" s="112"/>
      <c r="S20" s="112"/>
      <c r="T20" s="111"/>
    </row>
    <row r="21" spans="1:20" x14ac:dyDescent="0.25">
      <c r="A21" s="32"/>
      <c r="B21" s="14" t="s">
        <v>7</v>
      </c>
      <c r="E21" s="32"/>
      <c r="F21" s="16">
        <f t="shared" si="1"/>
        <v>91.6666666666667</v>
      </c>
      <c r="G21" s="21">
        <f>SUM(F19:F21)</f>
        <v>550.00000000000023</v>
      </c>
      <c r="O21" s="14"/>
    </row>
    <row r="22" spans="1:20" ht="15.75" thickBot="1" x14ac:dyDescent="0.3">
      <c r="A22" s="32"/>
      <c r="E22" s="32"/>
      <c r="F22" s="16"/>
      <c r="G22" s="36">
        <f>+G16-G21</f>
        <v>0</v>
      </c>
      <c r="N22" s="12" t="s">
        <v>12</v>
      </c>
      <c r="O22" s="12"/>
    </row>
    <row r="23" spans="1:20" ht="15.75" thickTop="1" x14ac:dyDescent="0.25">
      <c r="A23" s="32"/>
      <c r="B23" s="98"/>
      <c r="C23" s="97"/>
      <c r="D23" s="97"/>
      <c r="E23" s="111"/>
      <c r="F23" s="105"/>
      <c r="G23" s="105"/>
      <c r="I23" s="108"/>
      <c r="J23" s="100"/>
      <c r="K23" s="107"/>
      <c r="L23" s="109" t="s">
        <v>16</v>
      </c>
      <c r="M23" s="110" t="s">
        <v>16</v>
      </c>
      <c r="N23" s="109" t="s">
        <v>7</v>
      </c>
      <c r="O23" s="100"/>
      <c r="P23" s="100"/>
      <c r="Q23" s="107"/>
      <c r="R23" s="109" t="s">
        <v>16</v>
      </c>
      <c r="S23" s="110" t="s">
        <v>16</v>
      </c>
      <c r="T23" s="109" t="s">
        <v>7</v>
      </c>
    </row>
    <row r="24" spans="1:20" x14ac:dyDescent="0.25">
      <c r="I24" s="31" t="s">
        <v>14</v>
      </c>
      <c r="K24" s="32"/>
      <c r="L24" s="23">
        <v>600</v>
      </c>
      <c r="M24" s="14">
        <v>600</v>
      </c>
      <c r="N24" s="23"/>
      <c r="O24" s="14" t="s">
        <v>9</v>
      </c>
      <c r="Q24" s="32"/>
      <c r="R24" s="23">
        <v>3000</v>
      </c>
      <c r="S24" s="23">
        <v>2000</v>
      </c>
      <c r="T24" s="32">
        <v>1000</v>
      </c>
    </row>
    <row r="25" spans="1:20" x14ac:dyDescent="0.25">
      <c r="I25" s="102" t="s">
        <v>15</v>
      </c>
      <c r="K25" s="32"/>
      <c r="L25" s="23"/>
      <c r="N25" s="135">
        <f>+N31-N26-N27</f>
        <v>2175.333333333333</v>
      </c>
      <c r="O25" s="14" t="s">
        <v>14</v>
      </c>
      <c r="Q25" s="32"/>
      <c r="R25" s="23">
        <v>600</v>
      </c>
      <c r="S25" s="23">
        <v>400</v>
      </c>
      <c r="T25" s="32">
        <v>200</v>
      </c>
    </row>
    <row r="26" spans="1:20" x14ac:dyDescent="0.25">
      <c r="I26" s="14" t="s">
        <v>8</v>
      </c>
      <c r="K26" s="32"/>
      <c r="L26" s="23"/>
      <c r="N26" s="23">
        <v>108</v>
      </c>
      <c r="O26" s="14" t="s">
        <v>133</v>
      </c>
      <c r="Q26" s="32"/>
      <c r="R26" s="21">
        <f>+J38/1000</f>
        <v>4000</v>
      </c>
      <c r="S26" s="21">
        <f>+J39/1000</f>
        <v>2666.6666666666665</v>
      </c>
      <c r="T26" s="21">
        <f>+J40/1000</f>
        <v>1333.3333333333333</v>
      </c>
    </row>
    <row r="27" spans="1:20" x14ac:dyDescent="0.25">
      <c r="I27" s="14" t="s">
        <v>133</v>
      </c>
      <c r="K27" s="32"/>
      <c r="L27" s="135">
        <f>-K38/1000</f>
        <v>1000</v>
      </c>
      <c r="M27" s="136">
        <f>-K39/1000</f>
        <v>666.66666666666663</v>
      </c>
      <c r="N27" s="135">
        <f>-K40/1000</f>
        <v>333.33333333333331</v>
      </c>
      <c r="O27" s="14" t="s">
        <v>133</v>
      </c>
      <c r="Q27" s="32"/>
      <c r="R27" s="21">
        <f>+L38/1000</f>
        <v>250</v>
      </c>
      <c r="S27" s="21">
        <f>+L39/1000</f>
        <v>166.66666666666666</v>
      </c>
      <c r="T27" s="16">
        <f>+L40/1000</f>
        <v>83.333333333333329</v>
      </c>
    </row>
    <row r="28" spans="1:20" x14ac:dyDescent="0.25">
      <c r="K28" s="32"/>
      <c r="L28" s="23"/>
      <c r="N28" s="23"/>
      <c r="O28" s="14"/>
      <c r="Q28" s="32"/>
      <c r="R28" s="34"/>
      <c r="S28" s="34"/>
      <c r="T28" s="101"/>
    </row>
    <row r="29" spans="1:20" x14ac:dyDescent="0.25">
      <c r="I29" s="31"/>
      <c r="K29" s="32"/>
      <c r="L29" s="23"/>
      <c r="N29" s="23"/>
      <c r="O29" s="14"/>
      <c r="Q29" s="32"/>
      <c r="R29" s="23"/>
      <c r="S29" s="23"/>
      <c r="T29" s="32"/>
    </row>
    <row r="30" spans="1:20" x14ac:dyDescent="0.25">
      <c r="B30" s="35"/>
      <c r="D30" s="35"/>
      <c r="I30" s="31" t="s">
        <v>9</v>
      </c>
      <c r="K30" s="32"/>
      <c r="L30" s="21">
        <f>+L31-L24-L27</f>
        <v>6250</v>
      </c>
      <c r="M30" s="21">
        <f>+M31-M24-M27</f>
        <v>3966.6666666666665</v>
      </c>
      <c r="N30" s="21"/>
      <c r="O30" s="14"/>
      <c r="Q30" s="32"/>
      <c r="R30" s="23"/>
      <c r="S30" s="23"/>
      <c r="T30" s="32"/>
    </row>
    <row r="31" spans="1:20" ht="15.75" thickBot="1" x14ac:dyDescent="0.3">
      <c r="B31" s="35"/>
      <c r="D31" s="35"/>
      <c r="I31" s="31"/>
      <c r="K31" s="32"/>
      <c r="L31" s="104">
        <f>+R31</f>
        <v>7850</v>
      </c>
      <c r="M31" s="104">
        <f t="shared" ref="M31:N31" si="2">+S31</f>
        <v>5233.333333333333</v>
      </c>
      <c r="N31" s="104">
        <f t="shared" si="2"/>
        <v>2616.6666666666665</v>
      </c>
      <c r="O31" s="14"/>
      <c r="Q31" s="32"/>
      <c r="R31" s="137">
        <f>SUM(R24:R30)</f>
        <v>7850</v>
      </c>
      <c r="S31" s="137">
        <f t="shared" ref="S31" si="3">SUM(S24:S30)</f>
        <v>5233.333333333333</v>
      </c>
      <c r="T31" s="137">
        <f>SUM(T24:T30)</f>
        <v>2616.6666666666665</v>
      </c>
    </row>
    <row r="32" spans="1:20" ht="15.75" thickTop="1" x14ac:dyDescent="0.25">
      <c r="D32" s="35"/>
      <c r="I32" s="31"/>
      <c r="K32" s="32"/>
      <c r="L32" s="23"/>
      <c r="N32" s="23"/>
      <c r="O32" s="14"/>
      <c r="Q32" s="32"/>
      <c r="R32" s="23"/>
      <c r="S32" s="23"/>
      <c r="T32" s="32"/>
    </row>
    <row r="33" spans="2:20" x14ac:dyDescent="0.25">
      <c r="B33" s="35"/>
      <c r="D33" s="35"/>
      <c r="I33" s="98"/>
      <c r="J33" s="97"/>
      <c r="K33" s="111"/>
      <c r="L33" s="112"/>
      <c r="M33" s="97"/>
      <c r="N33" s="112"/>
      <c r="O33" s="97"/>
      <c r="P33" s="97"/>
      <c r="Q33" s="111"/>
      <c r="R33" s="112"/>
      <c r="S33" s="112"/>
      <c r="T33" s="111"/>
    </row>
    <row r="34" spans="2:20" x14ac:dyDescent="0.25">
      <c r="D34" s="35"/>
    </row>
    <row r="35" spans="2:20" x14ac:dyDescent="0.25">
      <c r="B35" s="35"/>
      <c r="C35" s="12" t="s">
        <v>133</v>
      </c>
      <c r="D35" s="35"/>
    </row>
    <row r="36" spans="2:20" ht="15.75" thickBot="1" x14ac:dyDescent="0.3">
      <c r="B36" s="35"/>
      <c r="D36" s="35"/>
    </row>
    <row r="37" spans="2:20" ht="15.75" thickBot="1" x14ac:dyDescent="0.3">
      <c r="B37" s="35"/>
      <c r="C37" s="129" t="s">
        <v>134</v>
      </c>
      <c r="D37" s="131" t="s">
        <v>135</v>
      </c>
      <c r="E37" s="133" t="s">
        <v>136</v>
      </c>
      <c r="F37" s="133" t="s">
        <v>137</v>
      </c>
    </row>
    <row r="38" spans="2:20" ht="15.75" thickBot="1" x14ac:dyDescent="0.3">
      <c r="B38" s="35"/>
      <c r="C38" s="130" t="s">
        <v>127</v>
      </c>
      <c r="D38" s="132">
        <v>90000000</v>
      </c>
      <c r="E38" s="134">
        <v>82000000</v>
      </c>
      <c r="F38" s="134">
        <f>+D38-E38</f>
        <v>8000000</v>
      </c>
      <c r="I38" s="14">
        <v>3</v>
      </c>
      <c r="J38" s="15">
        <f>+F38/6*3</f>
        <v>4000000</v>
      </c>
      <c r="K38" s="14">
        <f>+F39/6*3</f>
        <v>-1000000</v>
      </c>
      <c r="L38" s="14">
        <f>+F40/6*3</f>
        <v>250000</v>
      </c>
    </row>
    <row r="39" spans="2:20" ht="15.75" thickBot="1" x14ac:dyDescent="0.3">
      <c r="C39" s="130" t="s">
        <v>128</v>
      </c>
      <c r="D39" s="132">
        <v>4000000</v>
      </c>
      <c r="E39" s="134">
        <v>6000000</v>
      </c>
      <c r="F39" s="134">
        <f>+D39-E39</f>
        <v>-2000000</v>
      </c>
      <c r="I39" s="14">
        <v>2</v>
      </c>
      <c r="J39" s="15">
        <f>+F38/6*2</f>
        <v>2666666.6666666665</v>
      </c>
      <c r="K39" s="14">
        <f>+F39/6*2</f>
        <v>-666666.66666666663</v>
      </c>
      <c r="L39" s="14">
        <f>+F40/6*2</f>
        <v>166666.66666666666</v>
      </c>
    </row>
    <row r="40" spans="2:20" ht="15.75" thickBot="1" x14ac:dyDescent="0.3">
      <c r="C40" s="130" t="s">
        <v>129</v>
      </c>
      <c r="D40" s="132">
        <v>1500000</v>
      </c>
      <c r="E40" s="134">
        <v>1000000</v>
      </c>
      <c r="F40" s="134">
        <f>+D40-E40</f>
        <v>500000</v>
      </c>
      <c r="I40" s="14">
        <v>1</v>
      </c>
      <c r="J40" s="15">
        <f>8000000/6*1</f>
        <v>1333333.3333333333</v>
      </c>
      <c r="K40" s="14">
        <f>+F39/6*1</f>
        <v>-333333.33333333331</v>
      </c>
      <c r="L40" s="14">
        <f>+F40/6*1</f>
        <v>83333.333333333328</v>
      </c>
    </row>
  </sheetData>
  <pageMargins left="0.7" right="0.7" top="0.75" bottom="0.75" header="0.3" footer="0.3"/>
  <pageSetup paperSize="8" orientation="landscape"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47"/>
  <sheetViews>
    <sheetView zoomScaleNormal="100" workbookViewId="0"/>
  </sheetViews>
  <sheetFormatPr defaultRowHeight="15" x14ac:dyDescent="0.25"/>
  <cols>
    <col min="3" max="3" width="18.28515625" bestFit="1" customWidth="1"/>
    <col min="4" max="4" width="18" style="2" bestFit="1" customWidth="1"/>
    <col min="5" max="5" width="12.7109375" style="2" bestFit="1" customWidth="1"/>
    <col min="6" max="6" width="12.28515625" bestFit="1" customWidth="1"/>
    <col min="7" max="7" width="13.28515625" style="2" bestFit="1" customWidth="1"/>
    <col min="8" max="8" width="12.7109375" bestFit="1" customWidth="1"/>
    <col min="9" max="9" width="12.28515625" bestFit="1" customWidth="1"/>
    <col min="10" max="10" width="13.28515625" style="2" bestFit="1" customWidth="1"/>
    <col min="11" max="11" width="14.28515625" style="2" bestFit="1" customWidth="1"/>
  </cols>
  <sheetData>
    <row r="3" spans="1:11" x14ac:dyDescent="0.25">
      <c r="A3" s="1" t="s">
        <v>17</v>
      </c>
    </row>
    <row r="5" spans="1:11" x14ac:dyDescent="0.25">
      <c r="B5" s="141" t="s">
        <v>18</v>
      </c>
      <c r="C5" s="138" t="s">
        <v>19</v>
      </c>
      <c r="D5" s="139"/>
      <c r="E5" s="140"/>
      <c r="F5" s="138" t="s">
        <v>26</v>
      </c>
      <c r="G5" s="139"/>
      <c r="H5" s="140"/>
      <c r="I5" s="138" t="s">
        <v>20</v>
      </c>
      <c r="J5" s="139"/>
      <c r="K5" s="140"/>
    </row>
    <row r="6" spans="1:11" x14ac:dyDescent="0.25">
      <c r="B6" s="142"/>
      <c r="C6" s="19" t="s">
        <v>21</v>
      </c>
      <c r="D6" s="39" t="s">
        <v>22</v>
      </c>
      <c r="E6" s="39" t="s">
        <v>23</v>
      </c>
      <c r="F6" s="19" t="s">
        <v>21</v>
      </c>
      <c r="G6" s="39" t="s">
        <v>22</v>
      </c>
      <c r="H6" s="19" t="s">
        <v>23</v>
      </c>
      <c r="I6" s="19" t="s">
        <v>21</v>
      </c>
      <c r="J6" s="39" t="s">
        <v>22</v>
      </c>
      <c r="K6" s="39" t="s">
        <v>23</v>
      </c>
    </row>
    <row r="7" spans="1:11" x14ac:dyDescent="0.25">
      <c r="B7" s="19"/>
      <c r="C7" s="19"/>
      <c r="D7" s="39"/>
      <c r="E7" s="39"/>
      <c r="F7" s="19"/>
      <c r="G7" s="39"/>
      <c r="H7" s="19"/>
      <c r="I7" s="19"/>
      <c r="J7" s="39"/>
      <c r="K7" s="39"/>
    </row>
    <row r="8" spans="1:11" x14ac:dyDescent="0.25">
      <c r="B8" s="37" t="s">
        <v>24</v>
      </c>
      <c r="C8" s="19"/>
      <c r="D8" s="39"/>
      <c r="E8" s="39"/>
      <c r="F8" s="19"/>
      <c r="G8" s="39"/>
      <c r="H8" s="19"/>
      <c r="I8" s="19">
        <v>1000</v>
      </c>
      <c r="J8" s="39">
        <v>80</v>
      </c>
      <c r="K8" s="39">
        <f>+I8*J8</f>
        <v>80000</v>
      </c>
    </row>
    <row r="9" spans="1:11" x14ac:dyDescent="0.25">
      <c r="B9" s="19"/>
      <c r="C9" s="19"/>
      <c r="D9" s="39"/>
      <c r="E9" s="39"/>
      <c r="F9" s="19"/>
      <c r="G9" s="39"/>
      <c r="H9" s="19"/>
      <c r="I9" s="19"/>
      <c r="J9" s="39"/>
      <c r="K9" s="39"/>
    </row>
    <row r="10" spans="1:11" x14ac:dyDescent="0.25">
      <c r="B10" s="38" t="s">
        <v>24</v>
      </c>
      <c r="C10" s="19">
        <v>2000</v>
      </c>
      <c r="D10" s="39">
        <v>85</v>
      </c>
      <c r="E10" s="39">
        <f>+C10*D10</f>
        <v>170000</v>
      </c>
      <c r="F10" s="19"/>
      <c r="G10" s="39"/>
      <c r="H10" s="19"/>
      <c r="I10" s="19">
        <v>1000</v>
      </c>
      <c r="J10" s="39">
        <v>80</v>
      </c>
      <c r="K10" s="39">
        <v>80000</v>
      </c>
    </row>
    <row r="11" spans="1:11" x14ac:dyDescent="0.25">
      <c r="B11" s="19"/>
      <c r="C11" s="19"/>
      <c r="D11" s="39"/>
      <c r="E11" s="39"/>
      <c r="F11" s="19"/>
      <c r="G11" s="39"/>
      <c r="H11" s="19"/>
      <c r="I11" s="19">
        <v>2000</v>
      </c>
      <c r="J11" s="39">
        <v>85</v>
      </c>
      <c r="K11" s="39">
        <v>170000</v>
      </c>
    </row>
    <row r="12" spans="1:11" ht="15.75" thickBot="1" x14ac:dyDescent="0.3">
      <c r="B12" s="19"/>
      <c r="C12" s="19"/>
      <c r="D12" s="39"/>
      <c r="E12" s="39"/>
      <c r="F12" s="19"/>
      <c r="G12" s="39"/>
      <c r="H12" s="19"/>
      <c r="I12" s="42">
        <f>SUM(I10:I11)</f>
        <v>3000</v>
      </c>
      <c r="J12" s="39"/>
      <c r="K12" s="43">
        <f>SUM(K10:K11)</f>
        <v>250000</v>
      </c>
    </row>
    <row r="13" spans="1:11" ht="15.75" thickTop="1" x14ac:dyDescent="0.25">
      <c r="B13" s="19"/>
      <c r="C13" s="19"/>
      <c r="D13" s="39"/>
      <c r="E13" s="39"/>
      <c r="F13" s="19"/>
      <c r="G13" s="39"/>
      <c r="H13" s="19"/>
      <c r="I13" s="30"/>
      <c r="J13" s="39"/>
      <c r="K13" s="41"/>
    </row>
    <row r="14" spans="1:11" x14ac:dyDescent="0.25">
      <c r="B14" s="38" t="s">
        <v>25</v>
      </c>
      <c r="C14" s="19"/>
      <c r="D14" s="39"/>
      <c r="E14" s="39"/>
      <c r="F14" s="19">
        <v>1000</v>
      </c>
      <c r="G14" s="39">
        <v>80</v>
      </c>
      <c r="H14" s="40">
        <f>+F14*G14</f>
        <v>80000</v>
      </c>
      <c r="I14" s="19">
        <v>1500</v>
      </c>
      <c r="J14" s="39">
        <v>85</v>
      </c>
      <c r="K14" s="39">
        <f>+I14*J14</f>
        <v>127500</v>
      </c>
    </row>
    <row r="15" spans="1:11" x14ac:dyDescent="0.25">
      <c r="B15" s="19"/>
      <c r="C15" s="19"/>
      <c r="D15" s="39"/>
      <c r="E15" s="39"/>
      <c r="F15" s="19">
        <v>500</v>
      </c>
      <c r="G15" s="39">
        <v>85</v>
      </c>
      <c r="H15" s="40">
        <f>+F15*G15</f>
        <v>42500</v>
      </c>
      <c r="I15" s="19"/>
      <c r="J15" s="39"/>
      <c r="K15" s="39"/>
    </row>
    <row r="16" spans="1:11" ht="15.75" thickBot="1" x14ac:dyDescent="0.3">
      <c r="B16" s="19"/>
      <c r="C16" s="19"/>
      <c r="D16" s="39"/>
      <c r="E16" s="39"/>
      <c r="F16" s="42">
        <f>SUM(F14:F15)</f>
        <v>1500</v>
      </c>
      <c r="G16" s="39"/>
      <c r="H16" s="44">
        <f>SUM(H14:H15)</f>
        <v>122500</v>
      </c>
      <c r="I16" s="19"/>
      <c r="J16" s="39"/>
      <c r="K16" s="39"/>
    </row>
    <row r="17" spans="1:11" ht="15.75" thickTop="1" x14ac:dyDescent="0.25">
      <c r="B17" s="19"/>
      <c r="C17" s="19"/>
      <c r="D17" s="39"/>
      <c r="E17" s="39"/>
      <c r="F17" s="30"/>
      <c r="G17" s="39"/>
      <c r="H17" s="30"/>
      <c r="I17" s="19"/>
      <c r="J17" s="39"/>
      <c r="K17" s="39"/>
    </row>
    <row r="18" spans="1:11" x14ac:dyDescent="0.25">
      <c r="B18" s="38" t="s">
        <v>27</v>
      </c>
      <c r="C18" s="19"/>
      <c r="D18" s="39"/>
      <c r="E18" s="39"/>
      <c r="F18" s="19">
        <v>1000</v>
      </c>
      <c r="G18" s="39">
        <v>85</v>
      </c>
      <c r="H18" s="40">
        <f>+F18*G18</f>
        <v>85000</v>
      </c>
      <c r="I18" s="19">
        <v>500</v>
      </c>
      <c r="J18" s="39">
        <v>85</v>
      </c>
      <c r="K18" s="39">
        <f>+I18*J18</f>
        <v>42500</v>
      </c>
    </row>
    <row r="19" spans="1:11" x14ac:dyDescent="0.25">
      <c r="B19" s="19"/>
      <c r="C19" s="19"/>
      <c r="D19" s="39"/>
      <c r="E19" s="39"/>
      <c r="F19" s="19"/>
      <c r="G19" s="39"/>
      <c r="H19" s="19"/>
      <c r="I19" s="19"/>
      <c r="J19" s="39"/>
      <c r="K19" s="39"/>
    </row>
    <row r="20" spans="1:11" x14ac:dyDescent="0.25">
      <c r="B20" s="38" t="s">
        <v>28</v>
      </c>
      <c r="C20" s="19">
        <v>1500</v>
      </c>
      <c r="D20" s="39">
        <v>87</v>
      </c>
      <c r="E20" s="39">
        <f>+C20*D20</f>
        <v>130500</v>
      </c>
      <c r="F20" s="19"/>
      <c r="G20" s="39"/>
      <c r="H20" s="19"/>
      <c r="I20" s="19">
        <v>500</v>
      </c>
      <c r="J20" s="39">
        <v>85</v>
      </c>
      <c r="K20" s="39">
        <f>+I20*J20</f>
        <v>42500</v>
      </c>
    </row>
    <row r="21" spans="1:11" x14ac:dyDescent="0.25">
      <c r="B21" s="19"/>
      <c r="C21" s="19"/>
      <c r="D21" s="39"/>
      <c r="E21" s="39"/>
      <c r="F21" s="19"/>
      <c r="G21" s="39"/>
      <c r="H21" s="19"/>
      <c r="I21" s="19">
        <v>1500</v>
      </c>
      <c r="J21" s="39">
        <v>87</v>
      </c>
      <c r="K21" s="39">
        <f>+I21*J21</f>
        <v>130500</v>
      </c>
    </row>
    <row r="22" spans="1:11" ht="15.75" thickBot="1" x14ac:dyDescent="0.3">
      <c r="B22" s="19"/>
      <c r="C22" s="19"/>
      <c r="D22" s="39"/>
      <c r="E22" s="39"/>
      <c r="F22" s="19"/>
      <c r="G22" s="39"/>
      <c r="H22" s="19"/>
      <c r="I22" s="42">
        <f>SUM(I20:I21)</f>
        <v>2000</v>
      </c>
      <c r="J22" s="39"/>
      <c r="K22" s="43">
        <f>SUM(K20:K21)</f>
        <v>173000</v>
      </c>
    </row>
    <row r="23" spans="1:11" ht="15.75" thickTop="1" x14ac:dyDescent="0.25">
      <c r="B23" s="19"/>
      <c r="C23" s="19"/>
      <c r="D23" s="39"/>
      <c r="E23" s="39"/>
      <c r="F23" s="19"/>
      <c r="G23" s="39"/>
      <c r="H23" s="19"/>
      <c r="I23" s="30"/>
      <c r="J23" s="39"/>
      <c r="K23" s="41"/>
    </row>
    <row r="24" spans="1:11" x14ac:dyDescent="0.25">
      <c r="B24" s="38" t="s">
        <v>29</v>
      </c>
      <c r="C24" s="19"/>
      <c r="D24" s="39"/>
      <c r="E24" s="39"/>
      <c r="F24" s="19">
        <v>500</v>
      </c>
      <c r="G24" s="39">
        <v>85</v>
      </c>
      <c r="H24" s="40">
        <f>+F24*G24</f>
        <v>42500</v>
      </c>
      <c r="I24" s="30">
        <v>1000</v>
      </c>
      <c r="J24" s="39">
        <v>87</v>
      </c>
      <c r="K24" s="45">
        <f>+I24*J24</f>
        <v>87000</v>
      </c>
    </row>
    <row r="25" spans="1:11" x14ac:dyDescent="0.25">
      <c r="B25" s="19"/>
      <c r="C25" s="19"/>
      <c r="D25" s="39"/>
      <c r="E25" s="39"/>
      <c r="F25" s="19">
        <v>500</v>
      </c>
      <c r="G25" s="39">
        <v>87</v>
      </c>
      <c r="H25" s="40">
        <f>+F25*G25</f>
        <v>43500</v>
      </c>
      <c r="I25" s="30"/>
      <c r="J25" s="39"/>
      <c r="K25" s="41"/>
    </row>
    <row r="26" spans="1:11" ht="15.75" thickBot="1" x14ac:dyDescent="0.3">
      <c r="B26" s="19"/>
      <c r="C26" s="19"/>
      <c r="D26" s="39"/>
      <c r="E26" s="39"/>
      <c r="F26" s="42">
        <f>SUM(F24:F25)</f>
        <v>1000</v>
      </c>
      <c r="G26" s="39"/>
      <c r="H26" s="44">
        <f>SUM(H24:H25)</f>
        <v>86000</v>
      </c>
      <c r="I26" s="30"/>
      <c r="J26" s="39"/>
      <c r="K26" s="41"/>
    </row>
    <row r="27" spans="1:11" ht="15.75" thickTop="1" x14ac:dyDescent="0.25">
      <c r="B27" s="19"/>
      <c r="C27" s="19"/>
      <c r="D27" s="39"/>
      <c r="E27" s="39"/>
      <c r="F27" s="30"/>
      <c r="G27" s="39"/>
      <c r="H27" s="30"/>
      <c r="I27" s="19"/>
      <c r="J27" s="39"/>
      <c r="K27" s="39"/>
    </row>
    <row r="30" spans="1:11" x14ac:dyDescent="0.25">
      <c r="A30" s="1" t="s">
        <v>30</v>
      </c>
    </row>
    <row r="32" spans="1:11" ht="15.75" x14ac:dyDescent="0.25">
      <c r="C32" s="7" t="s">
        <v>31</v>
      </c>
      <c r="E32" s="2">
        <v>320464</v>
      </c>
    </row>
    <row r="34" spans="3:5" ht="15.75" x14ac:dyDescent="0.25">
      <c r="C34" s="7" t="s">
        <v>32</v>
      </c>
    </row>
    <row r="35" spans="3:5" x14ac:dyDescent="0.25">
      <c r="C35" t="s">
        <v>33</v>
      </c>
      <c r="D35" s="6" t="s">
        <v>34</v>
      </c>
      <c r="E35" s="2">
        <f>10*100</f>
        <v>1000</v>
      </c>
    </row>
    <row r="36" spans="3:5" ht="15.75" x14ac:dyDescent="0.25">
      <c r="C36" s="7" t="s">
        <v>7</v>
      </c>
      <c r="D36" s="6" t="s">
        <v>35</v>
      </c>
      <c r="E36" s="2">
        <f>12*120</f>
        <v>1440</v>
      </c>
    </row>
    <row r="38" spans="3:5" ht="15.75" x14ac:dyDescent="0.25">
      <c r="C38" s="7" t="s">
        <v>36</v>
      </c>
    </row>
    <row r="39" spans="3:5" x14ac:dyDescent="0.25">
      <c r="C39" t="s">
        <v>33</v>
      </c>
      <c r="D39" s="6" t="s">
        <v>37</v>
      </c>
      <c r="E39" s="2">
        <f>+(40)*100</f>
        <v>4000</v>
      </c>
    </row>
    <row r="40" spans="3:5" ht="15.75" x14ac:dyDescent="0.25">
      <c r="C40" s="7" t="s">
        <v>7</v>
      </c>
      <c r="D40" s="6" t="s">
        <v>38</v>
      </c>
      <c r="E40" s="2">
        <f>+(70)*120</f>
        <v>8400</v>
      </c>
    </row>
    <row r="42" spans="3:5" ht="15.75" x14ac:dyDescent="0.25">
      <c r="C42" s="7" t="s">
        <v>39</v>
      </c>
    </row>
    <row r="43" spans="3:5" x14ac:dyDescent="0.25">
      <c r="C43" t="s">
        <v>33</v>
      </c>
      <c r="D43" s="6" t="s">
        <v>40</v>
      </c>
      <c r="E43" s="2">
        <f>+(78000/5000)*100</f>
        <v>1560</v>
      </c>
    </row>
    <row r="44" spans="3:5" ht="15.75" x14ac:dyDescent="0.25">
      <c r="C44" s="7" t="s">
        <v>7</v>
      </c>
      <c r="D44" s="6" t="s">
        <v>41</v>
      </c>
      <c r="E44" s="2">
        <f>+(78000/5000)*120</f>
        <v>1872</v>
      </c>
    </row>
    <row r="46" spans="3:5" ht="15.75" thickBot="1" x14ac:dyDescent="0.3">
      <c r="E46" s="46">
        <f>SUM(E32:E44)</f>
        <v>338736</v>
      </c>
    </row>
    <row r="47" spans="3:5" ht="15.75" thickTop="1" x14ac:dyDescent="0.25"/>
  </sheetData>
  <mergeCells count="4">
    <mergeCell ref="C5:E5"/>
    <mergeCell ref="F5:H5"/>
    <mergeCell ref="I5:K5"/>
    <mergeCell ref="B5:B6"/>
  </mergeCells>
  <pageMargins left="0.7" right="0.7" top="0.75" bottom="0.75" header="0.3" footer="0.3"/>
  <pageSetup orientation="portrait" r:id="rId1"/>
  <picture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42"/>
  <sheetViews>
    <sheetView zoomScaleNormal="100" workbookViewId="0"/>
  </sheetViews>
  <sheetFormatPr defaultRowHeight="15" x14ac:dyDescent="0.25"/>
  <cols>
    <col min="2" max="2" width="24.42578125" bestFit="1" customWidth="1"/>
    <col min="3" max="3" width="31" bestFit="1" customWidth="1"/>
    <col min="4" max="4" width="13.28515625" style="5" bestFit="1" customWidth="1"/>
    <col min="5" max="5" width="25.28515625" style="5" bestFit="1" customWidth="1"/>
    <col min="6" max="6" width="12.28515625" style="5" customWidth="1"/>
    <col min="7" max="7" width="11.7109375" style="5" customWidth="1"/>
    <col min="8" max="8" width="12" style="5" customWidth="1"/>
  </cols>
  <sheetData>
    <row r="3" spans="2:8" ht="15.75" x14ac:dyDescent="0.25">
      <c r="B3" s="145" t="s">
        <v>42</v>
      </c>
      <c r="C3" s="141" t="s">
        <v>43</v>
      </c>
      <c r="D3" s="147" t="s">
        <v>44</v>
      </c>
      <c r="E3" s="143" t="s">
        <v>45</v>
      </c>
      <c r="F3" s="144"/>
      <c r="G3" s="143" t="s">
        <v>48</v>
      </c>
      <c r="H3" s="144"/>
    </row>
    <row r="4" spans="2:8" ht="15.75" x14ac:dyDescent="0.25">
      <c r="B4" s="146"/>
      <c r="C4" s="142"/>
      <c r="D4" s="148"/>
      <c r="E4" s="48" t="s">
        <v>46</v>
      </c>
      <c r="F4" s="48" t="s">
        <v>47</v>
      </c>
      <c r="G4" s="49" t="s">
        <v>49</v>
      </c>
      <c r="H4" s="49" t="s">
        <v>50</v>
      </c>
    </row>
    <row r="5" spans="2:8" x14ac:dyDescent="0.25">
      <c r="B5" s="19"/>
      <c r="C5" s="19"/>
      <c r="D5" s="50"/>
      <c r="E5" s="50"/>
      <c r="F5" s="50"/>
      <c r="G5" s="50"/>
      <c r="H5" s="50"/>
    </row>
    <row r="6" spans="2:8" ht="15.75" x14ac:dyDescent="0.25">
      <c r="B6" s="47" t="s">
        <v>51</v>
      </c>
      <c r="C6" s="7" t="s">
        <v>52</v>
      </c>
      <c r="D6" s="50">
        <f>SUM(E6:H6)</f>
        <v>405000</v>
      </c>
      <c r="E6" s="50">
        <v>250000</v>
      </c>
      <c r="F6" s="50">
        <v>120000</v>
      </c>
      <c r="G6" s="50">
        <v>25000</v>
      </c>
      <c r="H6" s="50">
        <v>10000</v>
      </c>
    </row>
    <row r="7" spans="2:8" x14ac:dyDescent="0.25">
      <c r="B7" s="19"/>
      <c r="C7" s="19"/>
      <c r="D7" s="50"/>
      <c r="E7" s="50"/>
      <c r="F7" s="50"/>
      <c r="G7" s="50"/>
      <c r="H7" s="50"/>
    </row>
    <row r="8" spans="2:8" ht="15.75" x14ac:dyDescent="0.25">
      <c r="B8" s="47" t="s">
        <v>53</v>
      </c>
      <c r="C8" s="7" t="s">
        <v>54</v>
      </c>
      <c r="D8" s="50">
        <v>1210000</v>
      </c>
      <c r="E8" s="50">
        <f>+(1210000/242)*104</f>
        <v>520000</v>
      </c>
      <c r="F8" s="50">
        <f>+(1210000/242)*84</f>
        <v>420000</v>
      </c>
      <c r="G8" s="50">
        <f>+(1210000/242)*52</f>
        <v>260000</v>
      </c>
      <c r="H8" s="50">
        <f>+(1210000/242)*2</f>
        <v>10000</v>
      </c>
    </row>
    <row r="9" spans="2:8" x14ac:dyDescent="0.25">
      <c r="B9" s="19"/>
      <c r="C9" s="19"/>
      <c r="D9" s="50"/>
      <c r="E9" s="50"/>
      <c r="F9" s="50"/>
      <c r="G9" s="50"/>
      <c r="H9" s="50"/>
    </row>
    <row r="10" spans="2:8" ht="15.75" x14ac:dyDescent="0.25">
      <c r="B10" s="47" t="s">
        <v>55</v>
      </c>
      <c r="C10" s="51" t="s">
        <v>56</v>
      </c>
      <c r="D10" s="50">
        <v>525000</v>
      </c>
      <c r="E10" s="50">
        <f>+(525000/175)*100</f>
        <v>300000</v>
      </c>
      <c r="F10" s="50">
        <f>+(525000/175)*50</f>
        <v>150000</v>
      </c>
      <c r="G10" s="50">
        <f>+(525000/175)*20</f>
        <v>60000</v>
      </c>
      <c r="H10" s="50">
        <f>+(525000/175)*5</f>
        <v>15000</v>
      </c>
    </row>
    <row r="11" spans="2:8" x14ac:dyDescent="0.25">
      <c r="B11" s="19"/>
      <c r="C11" s="19"/>
      <c r="D11" s="50"/>
      <c r="E11" s="50"/>
      <c r="F11" s="50"/>
      <c r="G11" s="50"/>
      <c r="H11" s="50"/>
    </row>
    <row r="12" spans="2:8" ht="15.75" x14ac:dyDescent="0.25">
      <c r="B12" s="47" t="s">
        <v>57</v>
      </c>
      <c r="C12" s="7" t="s">
        <v>54</v>
      </c>
      <c r="D12" s="50">
        <v>363000</v>
      </c>
      <c r="E12" s="50">
        <f>+(363000/242)*104</f>
        <v>156000</v>
      </c>
      <c r="F12" s="50">
        <f>+(363000/242)*84</f>
        <v>126000</v>
      </c>
      <c r="G12" s="50">
        <f>+(363000/242)*52</f>
        <v>78000</v>
      </c>
      <c r="H12" s="50">
        <f>+(363000/242)*2</f>
        <v>3000</v>
      </c>
    </row>
    <row r="13" spans="2:8" x14ac:dyDescent="0.25">
      <c r="B13" s="19"/>
      <c r="C13" s="19"/>
      <c r="D13" s="50"/>
      <c r="E13" s="50"/>
      <c r="F13" s="50"/>
      <c r="G13" s="50"/>
      <c r="H13" s="50"/>
    </row>
    <row r="14" spans="2:8" ht="15.75" x14ac:dyDescent="0.25">
      <c r="B14" s="47" t="s">
        <v>58</v>
      </c>
      <c r="C14" s="7" t="s">
        <v>59</v>
      </c>
      <c r="D14" s="50">
        <v>544000</v>
      </c>
      <c r="E14" s="50">
        <f>+(544000/17)*10</f>
        <v>320000</v>
      </c>
      <c r="F14" s="50">
        <f>+(544000/17)*5</f>
        <v>160000</v>
      </c>
      <c r="G14" s="50">
        <f>+(544000/17)*2</f>
        <v>64000</v>
      </c>
      <c r="H14" s="50">
        <v>0</v>
      </c>
    </row>
    <row r="15" spans="2:8" x14ac:dyDescent="0.25">
      <c r="B15" s="19"/>
      <c r="C15" s="19"/>
      <c r="D15" s="50"/>
      <c r="E15" s="50"/>
      <c r="F15" s="50"/>
      <c r="G15" s="50"/>
      <c r="H15" s="50"/>
    </row>
    <row r="16" spans="2:8" ht="16.5" thickBot="1" x14ac:dyDescent="0.3">
      <c r="B16" s="19" t="s">
        <v>60</v>
      </c>
      <c r="C16" s="51" t="s">
        <v>56</v>
      </c>
      <c r="D16" s="53">
        <v>1400000</v>
      </c>
      <c r="E16" s="53">
        <f>+(1400000/175)*100</f>
        <v>800000</v>
      </c>
      <c r="F16" s="53">
        <f>+(1400000/175)*50</f>
        <v>400000</v>
      </c>
      <c r="G16" s="53">
        <f>+(1400000/175)*20</f>
        <v>160000</v>
      </c>
      <c r="H16" s="53">
        <f>+(1400000/175)*5</f>
        <v>40000</v>
      </c>
    </row>
    <row r="17" spans="2:8" x14ac:dyDescent="0.25">
      <c r="B17" s="19"/>
      <c r="C17" s="19"/>
      <c r="D17" s="52">
        <f>SUM(D5:D16)</f>
        <v>4447000</v>
      </c>
      <c r="E17" s="113">
        <f>SUM(E5:E16)</f>
        <v>2346000</v>
      </c>
      <c r="F17" s="113">
        <f t="shared" ref="F17:H17" si="0">SUM(F5:F16)</f>
        <v>1376000</v>
      </c>
      <c r="G17" s="113">
        <f t="shared" si="0"/>
        <v>647000</v>
      </c>
      <c r="H17" s="113">
        <f t="shared" si="0"/>
        <v>78000</v>
      </c>
    </row>
    <row r="18" spans="2:8" x14ac:dyDescent="0.25">
      <c r="B18" s="19"/>
      <c r="C18" s="19"/>
      <c r="D18" s="52"/>
      <c r="E18" s="52"/>
      <c r="F18" s="52"/>
      <c r="G18" s="52"/>
      <c r="H18" s="52"/>
    </row>
    <row r="19" spans="2:8" ht="15.75" x14ac:dyDescent="0.25">
      <c r="B19" s="115" t="s">
        <v>49</v>
      </c>
      <c r="C19" s="109" t="s">
        <v>138</v>
      </c>
      <c r="D19" s="114"/>
      <c r="E19" s="116">
        <f>+G17*0.6</f>
        <v>388200</v>
      </c>
      <c r="F19" s="116">
        <f>+G17*0.4</f>
        <v>258800</v>
      </c>
      <c r="G19" s="117">
        <v>-647000</v>
      </c>
      <c r="H19" s="116">
        <v>0</v>
      </c>
    </row>
    <row r="20" spans="2:8" ht="15.75" x14ac:dyDescent="0.25">
      <c r="B20" s="115" t="s">
        <v>50</v>
      </c>
      <c r="C20" s="109" t="s">
        <v>139</v>
      </c>
      <c r="D20" s="114"/>
      <c r="E20" s="116">
        <f>-H20*0.5</f>
        <v>39000</v>
      </c>
      <c r="F20" s="116">
        <f>-H20*0.5</f>
        <v>39000</v>
      </c>
      <c r="G20" s="116">
        <v>0</v>
      </c>
      <c r="H20" s="117">
        <f>-SUM(H17:H19)</f>
        <v>-78000</v>
      </c>
    </row>
    <row r="21" spans="2:8" x14ac:dyDescent="0.25">
      <c r="B21" s="19" t="s">
        <v>61</v>
      </c>
      <c r="C21" s="19"/>
      <c r="D21" s="50"/>
      <c r="E21" s="113">
        <f>SUM(E17:E20)</f>
        <v>2773200</v>
      </c>
      <c r="F21" s="113">
        <f>SUM(F17:F20)</f>
        <v>1673800</v>
      </c>
      <c r="G21" s="52">
        <f>SUM(G17:G20)</f>
        <v>0</v>
      </c>
      <c r="H21" s="52">
        <f>SUM(H17:H20)</f>
        <v>0</v>
      </c>
    </row>
    <row r="22" spans="2:8" x14ac:dyDescent="0.25">
      <c r="B22" s="19"/>
      <c r="C22" s="19"/>
      <c r="D22" s="50"/>
      <c r="E22" s="50"/>
      <c r="F22" s="50"/>
      <c r="G22" s="50"/>
      <c r="H22" s="50"/>
    </row>
    <row r="25" spans="2:8" ht="16.5" thickBot="1" x14ac:dyDescent="0.3">
      <c r="B25" s="7" t="s">
        <v>63</v>
      </c>
      <c r="C25" s="54" t="s">
        <v>62</v>
      </c>
      <c r="E25" s="58" t="s">
        <v>67</v>
      </c>
      <c r="F25" s="59"/>
    </row>
    <row r="26" spans="2:8" ht="15.75" x14ac:dyDescent="0.25">
      <c r="C26" s="51" t="s">
        <v>64</v>
      </c>
    </row>
    <row r="27" spans="2:8" ht="15.75" x14ac:dyDescent="0.25">
      <c r="E27" s="123" t="s">
        <v>131</v>
      </c>
      <c r="F27" s="124">
        <v>20</v>
      </c>
    </row>
    <row r="28" spans="2:8" ht="15.75" x14ac:dyDescent="0.25">
      <c r="E28" s="123" t="s">
        <v>132</v>
      </c>
      <c r="F28" s="124">
        <v>10</v>
      </c>
    </row>
    <row r="29" spans="2:8" ht="18.75" thickBot="1" x14ac:dyDescent="0.45">
      <c r="B29" s="56" t="s">
        <v>65</v>
      </c>
      <c r="C29" s="120">
        <f>+E21</f>
        <v>2773200</v>
      </c>
      <c r="E29" s="125" t="s">
        <v>68</v>
      </c>
      <c r="F29" s="103"/>
    </row>
    <row r="30" spans="2:8" ht="15.75" x14ac:dyDescent="0.25">
      <c r="C30" s="35">
        <v>100000</v>
      </c>
      <c r="E30" s="126" t="s">
        <v>46</v>
      </c>
      <c r="F30" s="124">
        <f>28.1*0.5</f>
        <v>14.05</v>
      </c>
    </row>
    <row r="31" spans="2:8" x14ac:dyDescent="0.25">
      <c r="C31" s="119"/>
      <c r="E31" s="127" t="s">
        <v>69</v>
      </c>
      <c r="F31" s="103"/>
    </row>
    <row r="32" spans="2:8" ht="15.75" x14ac:dyDescent="0.25">
      <c r="B32" s="55" t="s">
        <v>0</v>
      </c>
      <c r="C32" s="122">
        <f>+E21/100000</f>
        <v>27.731999999999999</v>
      </c>
      <c r="E32" s="126" t="s">
        <v>47</v>
      </c>
      <c r="F32" s="124"/>
    </row>
    <row r="33" spans="2:6" x14ac:dyDescent="0.25">
      <c r="C33" s="119"/>
      <c r="E33" s="127" t="s">
        <v>70</v>
      </c>
      <c r="F33" s="124">
        <f>8.19*1</f>
        <v>8.19</v>
      </c>
    </row>
    <row r="34" spans="2:6" x14ac:dyDescent="0.25">
      <c r="C34" s="119"/>
      <c r="E34" s="118"/>
      <c r="F34" s="103"/>
    </row>
    <row r="35" spans="2:6" ht="16.5" thickBot="1" x14ac:dyDescent="0.3">
      <c r="B35" s="56" t="s">
        <v>66</v>
      </c>
      <c r="C35" s="120">
        <f>+F21</f>
        <v>1673800</v>
      </c>
      <c r="E35" s="118"/>
      <c r="F35" s="128">
        <f>SUM(F27:F34)</f>
        <v>52.239999999999995</v>
      </c>
    </row>
    <row r="36" spans="2:6" x14ac:dyDescent="0.25">
      <c r="C36" s="35">
        <v>200000</v>
      </c>
      <c r="F36" s="2"/>
    </row>
    <row r="37" spans="2:6" x14ac:dyDescent="0.25">
      <c r="C37" s="119"/>
      <c r="F37" s="2"/>
    </row>
    <row r="38" spans="2:6" x14ac:dyDescent="0.25">
      <c r="B38" s="57" t="s">
        <v>0</v>
      </c>
      <c r="C38" s="121">
        <f>+C35/C36</f>
        <v>8.3689999999999998</v>
      </c>
      <c r="F38" s="2"/>
    </row>
    <row r="39" spans="2:6" x14ac:dyDescent="0.25">
      <c r="C39" s="119"/>
      <c r="F39" s="2"/>
    </row>
    <row r="40" spans="2:6" x14ac:dyDescent="0.25">
      <c r="C40" s="119"/>
      <c r="F40" s="2"/>
    </row>
    <row r="41" spans="2:6" x14ac:dyDescent="0.25">
      <c r="C41" s="119"/>
    </row>
    <row r="42" spans="2:6" x14ac:dyDescent="0.25">
      <c r="C42" s="119"/>
    </row>
  </sheetData>
  <mergeCells count="5">
    <mergeCell ref="E3:F3"/>
    <mergeCell ref="G3:H3"/>
    <mergeCell ref="B3:B4"/>
    <mergeCell ref="C3:C4"/>
    <mergeCell ref="D3:D4"/>
  </mergeCells>
  <pageMargins left="0.7" right="0.7" top="0.75" bottom="0.75" header="0.3" footer="0.3"/>
  <pageSetup orientation="portrait" r:id="rId1"/>
  <picture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81"/>
  <sheetViews>
    <sheetView zoomScaleNormal="100" workbookViewId="0"/>
  </sheetViews>
  <sheetFormatPr defaultRowHeight="15" x14ac:dyDescent="0.25"/>
  <cols>
    <col min="6" max="6" width="11.5703125" bestFit="1" customWidth="1"/>
    <col min="7" max="7" width="9.140625" style="5"/>
    <col min="8" max="8" width="11.5703125" style="5" bestFit="1" customWidth="1"/>
    <col min="9" max="9" width="9.7109375" bestFit="1" customWidth="1"/>
    <col min="10" max="10" width="11.5703125" bestFit="1" customWidth="1"/>
    <col min="12" max="12" width="9.5703125" style="5" bestFit="1" customWidth="1"/>
  </cols>
  <sheetData>
    <row r="4" spans="1:12" ht="15.75" x14ac:dyDescent="0.25">
      <c r="A4" s="8" t="s">
        <v>71</v>
      </c>
      <c r="G4" s="48" t="s">
        <v>72</v>
      </c>
    </row>
    <row r="5" spans="1:12" x14ac:dyDescent="0.25">
      <c r="C5" s="18" t="s">
        <v>73</v>
      </c>
      <c r="D5" s="18"/>
      <c r="E5" s="18"/>
      <c r="F5" s="18"/>
      <c r="G5" s="61">
        <f>20*1000</f>
        <v>20000</v>
      </c>
      <c r="H5" s="64" t="s">
        <v>73</v>
      </c>
      <c r="I5" s="18"/>
      <c r="J5" s="18"/>
      <c r="K5" s="18"/>
      <c r="L5" s="64">
        <v>3000</v>
      </c>
    </row>
    <row r="6" spans="1:12" x14ac:dyDescent="0.25">
      <c r="C6" t="s">
        <v>76</v>
      </c>
      <c r="G6" s="62"/>
      <c r="H6" s="5" t="s">
        <v>75</v>
      </c>
    </row>
    <row r="7" spans="1:12" x14ac:dyDescent="0.25">
      <c r="G7" s="62"/>
    </row>
    <row r="8" spans="1:12" ht="15.75" x14ac:dyDescent="0.25">
      <c r="C8" t="s">
        <v>81</v>
      </c>
      <c r="G8" s="62">
        <f>400*1000</f>
        <v>400000</v>
      </c>
      <c r="H8" s="48" t="s">
        <v>83</v>
      </c>
      <c r="L8" s="5">
        <f>5*1000</f>
        <v>5000</v>
      </c>
    </row>
    <row r="9" spans="1:12" x14ac:dyDescent="0.25">
      <c r="C9" s="4" t="s">
        <v>82</v>
      </c>
      <c r="G9" s="62"/>
      <c r="H9" s="60" t="s">
        <v>84</v>
      </c>
    </row>
    <row r="10" spans="1:12" x14ac:dyDescent="0.25">
      <c r="G10" s="62"/>
    </row>
    <row r="11" spans="1:12" ht="15.75" x14ac:dyDescent="0.25">
      <c r="G11" s="62"/>
      <c r="H11" s="48" t="s">
        <v>85</v>
      </c>
      <c r="L11" s="72">
        <f>+L16-L8-L5</f>
        <v>412000</v>
      </c>
    </row>
    <row r="12" spans="1:12" x14ac:dyDescent="0.25">
      <c r="G12" s="62"/>
    </row>
    <row r="13" spans="1:12" x14ac:dyDescent="0.25">
      <c r="G13" s="62"/>
    </row>
    <row r="14" spans="1:12" x14ac:dyDescent="0.25">
      <c r="G14" s="62"/>
    </row>
    <row r="15" spans="1:12" x14ac:dyDescent="0.25">
      <c r="C15" t="s">
        <v>74</v>
      </c>
      <c r="G15" s="62">
        <v>0</v>
      </c>
      <c r="H15" s="5" t="s">
        <v>74</v>
      </c>
      <c r="L15" s="5">
        <v>0</v>
      </c>
    </row>
    <row r="16" spans="1:12" ht="15.75" thickBot="1" x14ac:dyDescent="0.3">
      <c r="G16" s="63">
        <f>SUM(G5:G15)</f>
        <v>420000</v>
      </c>
      <c r="L16" s="65">
        <f>+G16</f>
        <v>420000</v>
      </c>
    </row>
    <row r="17" spans="3:12" ht="15.75" thickTop="1" x14ac:dyDescent="0.25">
      <c r="G17" s="62"/>
    </row>
    <row r="18" spans="3:12" x14ac:dyDescent="0.25">
      <c r="G18" s="62"/>
    </row>
    <row r="20" spans="3:12" ht="15.75" x14ac:dyDescent="0.25">
      <c r="G20" s="7" t="s">
        <v>77</v>
      </c>
    </row>
    <row r="21" spans="3:12" ht="15.75" x14ac:dyDescent="0.25">
      <c r="C21" s="18" t="s">
        <v>73</v>
      </c>
      <c r="D21" s="18"/>
      <c r="E21" s="18"/>
      <c r="F21" s="18"/>
      <c r="G21" s="61">
        <v>175000</v>
      </c>
      <c r="H21" s="73" t="s">
        <v>86</v>
      </c>
      <c r="I21" s="18"/>
      <c r="J21" s="18"/>
      <c r="K21" s="18"/>
      <c r="L21" s="64">
        <v>10000</v>
      </c>
    </row>
    <row r="22" spans="3:12" x14ac:dyDescent="0.25">
      <c r="G22" s="62"/>
    </row>
    <row r="23" spans="3:12" ht="15.75" x14ac:dyDescent="0.25">
      <c r="C23" t="s">
        <v>91</v>
      </c>
      <c r="G23" s="62">
        <v>412000</v>
      </c>
      <c r="H23" s="7" t="s">
        <v>87</v>
      </c>
      <c r="L23" s="5">
        <v>100000</v>
      </c>
    </row>
    <row r="24" spans="3:12" x14ac:dyDescent="0.25">
      <c r="G24" s="62"/>
    </row>
    <row r="25" spans="3:12" x14ac:dyDescent="0.25">
      <c r="G25" s="62"/>
      <c r="H25" s="5" t="s">
        <v>88</v>
      </c>
      <c r="L25" s="5">
        <v>50000</v>
      </c>
    </row>
    <row r="26" spans="3:12" x14ac:dyDescent="0.25">
      <c r="G26" s="62"/>
    </row>
    <row r="27" spans="3:12" x14ac:dyDescent="0.25">
      <c r="G27" s="62"/>
      <c r="H27" s="5" t="s">
        <v>89</v>
      </c>
      <c r="L27" s="5">
        <v>10000</v>
      </c>
    </row>
    <row r="28" spans="3:12" x14ac:dyDescent="0.25">
      <c r="G28" s="62"/>
    </row>
    <row r="29" spans="3:12" x14ac:dyDescent="0.25">
      <c r="G29" s="62"/>
      <c r="H29" s="5" t="s">
        <v>93</v>
      </c>
      <c r="L29" s="5">
        <v>50000</v>
      </c>
    </row>
    <row r="30" spans="3:12" x14ac:dyDescent="0.25">
      <c r="G30" s="62"/>
    </row>
    <row r="31" spans="3:12" x14ac:dyDescent="0.25">
      <c r="G31" s="62"/>
    </row>
    <row r="32" spans="3:12" x14ac:dyDescent="0.25">
      <c r="G32" s="62"/>
      <c r="H32" s="5" t="s">
        <v>74</v>
      </c>
      <c r="L32" s="72">
        <f>+L33-L27-L25-L23-L21-L29</f>
        <v>367000</v>
      </c>
    </row>
    <row r="33" spans="3:12" ht="15.75" thickBot="1" x14ac:dyDescent="0.3">
      <c r="G33" s="63">
        <f>SUM(G21:G32)</f>
        <v>587000</v>
      </c>
      <c r="L33" s="65">
        <f>+G33</f>
        <v>587000</v>
      </c>
    </row>
    <row r="34" spans="3:12" ht="15.75" thickTop="1" x14ac:dyDescent="0.25">
      <c r="G34" s="62"/>
    </row>
    <row r="35" spans="3:12" x14ac:dyDescent="0.25">
      <c r="G35" s="62"/>
    </row>
    <row r="37" spans="3:12" ht="15.75" x14ac:dyDescent="0.25">
      <c r="C37" s="7" t="s">
        <v>78</v>
      </c>
    </row>
    <row r="38" spans="3:12" x14ac:dyDescent="0.25">
      <c r="C38" s="17"/>
      <c r="D38" s="18"/>
      <c r="E38" s="18"/>
      <c r="F38" s="18"/>
      <c r="G38" s="64"/>
      <c r="H38" s="74"/>
      <c r="I38" s="10"/>
    </row>
    <row r="39" spans="3:12" ht="15.75" thickBot="1" x14ac:dyDescent="0.3">
      <c r="C39" s="68" t="s">
        <v>79</v>
      </c>
      <c r="G39" s="67"/>
      <c r="H39" s="75"/>
      <c r="I39" s="9"/>
    </row>
    <row r="40" spans="3:12" ht="15.75" thickBot="1" x14ac:dyDescent="0.3">
      <c r="C40" s="71" t="s">
        <v>81</v>
      </c>
      <c r="G40" s="67"/>
      <c r="H40" s="79">
        <f>+G8</f>
        <v>400000</v>
      </c>
      <c r="I40" s="69">
        <f>+H40</f>
        <v>400000</v>
      </c>
    </row>
    <row r="41" spans="3:12" x14ac:dyDescent="0.25">
      <c r="C41" s="20"/>
      <c r="G41" s="67"/>
      <c r="H41" s="75"/>
      <c r="I41" s="9"/>
    </row>
    <row r="42" spans="3:12" ht="15.75" thickBot="1" x14ac:dyDescent="0.3">
      <c r="C42" s="68" t="s">
        <v>80</v>
      </c>
      <c r="G42" s="67"/>
      <c r="H42" s="75"/>
      <c r="I42" s="9"/>
    </row>
    <row r="43" spans="3:12" x14ac:dyDescent="0.25">
      <c r="C43" s="20"/>
      <c r="G43" s="67"/>
      <c r="H43" s="75"/>
      <c r="I43" s="9"/>
    </row>
    <row r="44" spans="3:12" ht="15.75" x14ac:dyDescent="0.25">
      <c r="C44" s="70" t="s">
        <v>83</v>
      </c>
      <c r="G44" s="67"/>
      <c r="H44" s="75">
        <f>+L8</f>
        <v>5000</v>
      </c>
      <c r="I44" s="9"/>
    </row>
    <row r="45" spans="3:12" ht="15.75" x14ac:dyDescent="0.25">
      <c r="C45" s="70" t="s">
        <v>86</v>
      </c>
      <c r="G45" s="67"/>
      <c r="H45" s="75">
        <v>10000</v>
      </c>
      <c r="I45" s="9"/>
    </row>
    <row r="46" spans="3:12" x14ac:dyDescent="0.25">
      <c r="C46" s="20" t="s">
        <v>88</v>
      </c>
      <c r="G46" s="67"/>
      <c r="H46" s="75">
        <v>50000</v>
      </c>
      <c r="I46" s="9"/>
    </row>
    <row r="47" spans="3:12" x14ac:dyDescent="0.25">
      <c r="C47" s="20" t="s">
        <v>89</v>
      </c>
      <c r="G47" s="67"/>
      <c r="H47" s="75">
        <v>10000</v>
      </c>
      <c r="I47" s="9"/>
    </row>
    <row r="48" spans="3:12" x14ac:dyDescent="0.25">
      <c r="C48" s="20" t="s">
        <v>92</v>
      </c>
      <c r="G48" s="67"/>
      <c r="H48" s="75">
        <v>20000</v>
      </c>
      <c r="I48" s="9"/>
    </row>
    <row r="49" spans="3:10" ht="15.75" thickBot="1" x14ac:dyDescent="0.3">
      <c r="C49" s="20" t="s">
        <v>94</v>
      </c>
      <c r="G49" s="67"/>
      <c r="H49" s="79">
        <v>40000</v>
      </c>
      <c r="I49" s="80">
        <f>-SUM(H44:H49)</f>
        <v>-135000</v>
      </c>
    </row>
    <row r="50" spans="3:10" x14ac:dyDescent="0.25">
      <c r="C50" s="20"/>
      <c r="G50" s="67"/>
      <c r="H50" s="75"/>
      <c r="I50" s="9"/>
    </row>
    <row r="51" spans="3:10" ht="15.75" thickBot="1" x14ac:dyDescent="0.3">
      <c r="C51" s="20" t="s">
        <v>95</v>
      </c>
      <c r="G51" s="67"/>
      <c r="H51" s="75"/>
      <c r="I51" s="81">
        <f>+I40+I49</f>
        <v>265000</v>
      </c>
    </row>
    <row r="52" spans="3:10" ht="15.75" thickTop="1" x14ac:dyDescent="0.25">
      <c r="C52" s="28"/>
      <c r="D52" s="3"/>
      <c r="E52" s="3"/>
      <c r="F52" s="3"/>
      <c r="G52" s="66"/>
      <c r="H52" s="52"/>
      <c r="I52" s="29"/>
    </row>
    <row r="55" spans="3:10" ht="15.75" x14ac:dyDescent="0.25">
      <c r="F55" s="7" t="s">
        <v>87</v>
      </c>
    </row>
    <row r="56" spans="3:10" x14ac:dyDescent="0.25">
      <c r="C56" s="18" t="s">
        <v>73</v>
      </c>
      <c r="D56" s="18"/>
      <c r="E56" s="18"/>
      <c r="F56" s="61">
        <v>100000</v>
      </c>
      <c r="G56" s="64" t="s">
        <v>92</v>
      </c>
      <c r="H56" s="64"/>
      <c r="I56" s="18"/>
      <c r="J56" s="78">
        <f>+J63-J62</f>
        <v>20000</v>
      </c>
    </row>
    <row r="57" spans="3:10" x14ac:dyDescent="0.25">
      <c r="F57" s="9"/>
    </row>
    <row r="58" spans="3:10" x14ac:dyDescent="0.25">
      <c r="C58" t="s">
        <v>77</v>
      </c>
      <c r="F58" s="62">
        <v>100000</v>
      </c>
    </row>
    <row r="59" spans="3:10" x14ac:dyDescent="0.25">
      <c r="F59" s="9"/>
    </row>
    <row r="60" spans="3:10" x14ac:dyDescent="0.25">
      <c r="F60" s="9"/>
    </row>
    <row r="61" spans="3:10" x14ac:dyDescent="0.25">
      <c r="F61" s="9"/>
    </row>
    <row r="62" spans="3:10" x14ac:dyDescent="0.25">
      <c r="F62" s="9"/>
      <c r="G62" s="5" t="s">
        <v>74</v>
      </c>
      <c r="J62" s="5">
        <v>180000</v>
      </c>
    </row>
    <row r="63" spans="3:10" ht="15.75" thickBot="1" x14ac:dyDescent="0.3">
      <c r="F63" s="76">
        <f>SUM(F56:F62)</f>
        <v>200000</v>
      </c>
      <c r="J63" s="77">
        <f>+F63</f>
        <v>200000</v>
      </c>
    </row>
    <row r="64" spans="3:10" ht="15.75" thickTop="1" x14ac:dyDescent="0.25">
      <c r="F64" s="9"/>
    </row>
    <row r="65" spans="3:10" x14ac:dyDescent="0.25">
      <c r="F65" s="9"/>
    </row>
    <row r="66" spans="3:10" x14ac:dyDescent="0.25">
      <c r="F66" s="9"/>
    </row>
    <row r="70" spans="3:10" ht="15.75" x14ac:dyDescent="0.25">
      <c r="F70" s="51" t="s">
        <v>90</v>
      </c>
    </row>
    <row r="71" spans="3:10" x14ac:dyDescent="0.25">
      <c r="C71" s="18" t="s">
        <v>73</v>
      </c>
      <c r="D71" s="18"/>
      <c r="E71" s="18"/>
      <c r="F71" s="61">
        <v>10000</v>
      </c>
      <c r="G71" s="64" t="s">
        <v>78</v>
      </c>
      <c r="H71" s="64"/>
      <c r="I71" s="18"/>
      <c r="J71" s="78">
        <f>+J79-J78</f>
        <v>40000</v>
      </c>
    </row>
    <row r="72" spans="3:10" x14ac:dyDescent="0.25">
      <c r="F72" s="9"/>
    </row>
    <row r="73" spans="3:10" x14ac:dyDescent="0.25">
      <c r="C73" t="s">
        <v>77</v>
      </c>
      <c r="F73" s="62">
        <v>50000</v>
      </c>
    </row>
    <row r="74" spans="3:10" x14ac:dyDescent="0.25">
      <c r="F74" s="9"/>
    </row>
    <row r="75" spans="3:10" x14ac:dyDescent="0.25">
      <c r="F75" s="9"/>
    </row>
    <row r="76" spans="3:10" x14ac:dyDescent="0.25">
      <c r="F76" s="9"/>
    </row>
    <row r="77" spans="3:10" x14ac:dyDescent="0.25">
      <c r="F77" s="9"/>
    </row>
    <row r="78" spans="3:10" x14ac:dyDescent="0.25">
      <c r="F78" s="9"/>
      <c r="G78" s="5" t="s">
        <v>74</v>
      </c>
      <c r="J78" s="5">
        <v>20000</v>
      </c>
    </row>
    <row r="79" spans="3:10" ht="15.75" thickBot="1" x14ac:dyDescent="0.3">
      <c r="F79" s="76">
        <f>SUM(F71:F78)</f>
        <v>60000</v>
      </c>
      <c r="J79" s="77">
        <f>+F79</f>
        <v>60000</v>
      </c>
    </row>
    <row r="80" spans="3:10" ht="15.75" thickTop="1" x14ac:dyDescent="0.25">
      <c r="F80" s="9"/>
    </row>
    <row r="81" spans="6:6" x14ac:dyDescent="0.25">
      <c r="F81" s="9"/>
    </row>
  </sheetData>
  <pageMargins left="0.7" right="0.7" top="0.75" bottom="0.75" header="0.3" footer="0.3"/>
  <pageSetup orientation="portrait" r:id="rId1"/>
  <picture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78"/>
  <sheetViews>
    <sheetView zoomScaleNormal="100" workbookViewId="0"/>
  </sheetViews>
  <sheetFormatPr defaultRowHeight="15" x14ac:dyDescent="0.25"/>
  <cols>
    <col min="6" max="7" width="10.5703125" style="5" bestFit="1" customWidth="1"/>
    <col min="8" max="8" width="9.7109375" bestFit="1" customWidth="1"/>
    <col min="11" max="11" width="11.85546875" customWidth="1"/>
    <col min="12" max="12" width="11.5703125" bestFit="1" customWidth="1"/>
    <col min="13" max="13" width="11.5703125" style="5" bestFit="1" customWidth="1"/>
    <col min="15" max="16" width="15.42578125" customWidth="1"/>
    <col min="17" max="17" width="11.5703125" style="5" bestFit="1" customWidth="1"/>
    <col min="27" max="27" width="10.5703125" style="5" bestFit="1" customWidth="1"/>
  </cols>
  <sheetData>
    <row r="2" spans="2:27" ht="15.75" x14ac:dyDescent="0.25">
      <c r="C2" s="7" t="s">
        <v>96</v>
      </c>
      <c r="M2" s="48" t="s">
        <v>97</v>
      </c>
      <c r="W2" t="s">
        <v>104</v>
      </c>
    </row>
    <row r="3" spans="2:27" ht="15.75" x14ac:dyDescent="0.25">
      <c r="B3" s="17" t="s">
        <v>105</v>
      </c>
      <c r="C3" s="18"/>
      <c r="D3" s="18"/>
      <c r="E3" s="18"/>
      <c r="F3" s="74">
        <v>5000</v>
      </c>
      <c r="G3" s="61"/>
      <c r="J3" s="82" t="s">
        <v>98</v>
      </c>
      <c r="K3" s="18"/>
      <c r="L3" s="18"/>
      <c r="M3" s="61">
        <v>200000</v>
      </c>
      <c r="N3" s="18" t="s">
        <v>101</v>
      </c>
      <c r="O3" s="18"/>
      <c r="P3" s="18"/>
      <c r="Q3" s="93">
        <v>20000</v>
      </c>
      <c r="T3" s="18"/>
      <c r="U3" s="18"/>
      <c r="V3" s="18"/>
      <c r="W3" s="10"/>
      <c r="X3" s="17" t="s">
        <v>97</v>
      </c>
      <c r="Y3" s="18"/>
      <c r="Z3" s="18"/>
      <c r="AA3" s="93">
        <v>10000</v>
      </c>
    </row>
    <row r="4" spans="2:27" x14ac:dyDescent="0.25">
      <c r="B4" s="20" t="s">
        <v>106</v>
      </c>
      <c r="F4" s="75">
        <v>10000</v>
      </c>
      <c r="G4" s="62"/>
      <c r="J4" t="s">
        <v>104</v>
      </c>
      <c r="M4" s="95">
        <v>10000</v>
      </c>
      <c r="N4" t="s">
        <v>103</v>
      </c>
      <c r="Q4" s="94">
        <v>10000</v>
      </c>
      <c r="W4" s="9"/>
      <c r="X4" s="20" t="s">
        <v>97</v>
      </c>
      <c r="AA4" s="94">
        <v>30000</v>
      </c>
    </row>
    <row r="5" spans="2:27" x14ac:dyDescent="0.25">
      <c r="B5" s="20" t="s">
        <v>107</v>
      </c>
      <c r="F5" s="75">
        <v>75000</v>
      </c>
      <c r="G5" s="62"/>
      <c r="J5" t="s">
        <v>104</v>
      </c>
      <c r="M5" s="95">
        <v>30000</v>
      </c>
      <c r="N5" t="s">
        <v>105</v>
      </c>
      <c r="Q5" s="94">
        <v>5000</v>
      </c>
      <c r="W5" s="9"/>
      <c r="X5" s="20" t="s">
        <v>97</v>
      </c>
      <c r="AA5" s="94">
        <v>40000</v>
      </c>
    </row>
    <row r="6" spans="2:27" ht="15.75" x14ac:dyDescent="0.25">
      <c r="B6" s="70" t="s">
        <v>108</v>
      </c>
      <c r="F6" s="75">
        <v>10000</v>
      </c>
      <c r="G6" s="62"/>
      <c r="J6" t="s">
        <v>104</v>
      </c>
      <c r="M6" s="95">
        <v>40000</v>
      </c>
      <c r="N6" s="20" t="s">
        <v>106</v>
      </c>
      <c r="Q6" s="94">
        <v>10000</v>
      </c>
      <c r="W6" s="9"/>
      <c r="X6" s="20" t="s">
        <v>97</v>
      </c>
      <c r="AA6" s="94">
        <v>60000</v>
      </c>
    </row>
    <row r="7" spans="2:27" x14ac:dyDescent="0.25">
      <c r="B7" s="20" t="s">
        <v>109</v>
      </c>
      <c r="F7" s="75">
        <v>10000</v>
      </c>
      <c r="G7" s="62"/>
      <c r="J7" t="s">
        <v>104</v>
      </c>
      <c r="M7" s="95">
        <v>60000</v>
      </c>
      <c r="N7" t="s">
        <v>101</v>
      </c>
      <c r="Q7" s="94">
        <v>10000</v>
      </c>
      <c r="W7" s="9"/>
      <c r="X7" s="20" t="s">
        <v>97</v>
      </c>
      <c r="AA7" s="94">
        <v>20000</v>
      </c>
    </row>
    <row r="8" spans="2:27" x14ac:dyDescent="0.25">
      <c r="B8" s="20" t="s">
        <v>110</v>
      </c>
      <c r="F8" s="75">
        <v>500</v>
      </c>
      <c r="G8" s="62"/>
      <c r="J8" t="s">
        <v>104</v>
      </c>
      <c r="M8" s="95">
        <v>20000</v>
      </c>
      <c r="N8" t="s">
        <v>107</v>
      </c>
      <c r="Q8" s="94">
        <v>75000</v>
      </c>
      <c r="W8" s="9"/>
      <c r="X8" s="20" t="s">
        <v>97</v>
      </c>
      <c r="AA8" s="94">
        <v>10000</v>
      </c>
    </row>
    <row r="9" spans="2:27" x14ac:dyDescent="0.25">
      <c r="B9" s="20" t="s">
        <v>111</v>
      </c>
      <c r="F9" s="75">
        <v>10000</v>
      </c>
      <c r="G9" s="62"/>
      <c r="J9" t="s">
        <v>104</v>
      </c>
      <c r="M9" s="95">
        <v>10000</v>
      </c>
      <c r="N9" t="s">
        <v>101</v>
      </c>
      <c r="Q9" s="94">
        <v>10000</v>
      </c>
      <c r="W9" s="9"/>
      <c r="X9" t="s">
        <v>120</v>
      </c>
      <c r="AA9" s="94">
        <v>10000</v>
      </c>
    </row>
    <row r="10" spans="2:27" x14ac:dyDescent="0.25">
      <c r="B10" s="20" t="s">
        <v>112</v>
      </c>
      <c r="F10" s="75"/>
      <c r="G10" s="62">
        <v>10000</v>
      </c>
      <c r="J10" t="s">
        <v>121</v>
      </c>
      <c r="M10" s="95">
        <v>250000</v>
      </c>
      <c r="N10" t="s">
        <v>101</v>
      </c>
      <c r="Q10" s="94">
        <v>25000</v>
      </c>
      <c r="W10" s="9"/>
    </row>
    <row r="11" spans="2:27" x14ac:dyDescent="0.25">
      <c r="B11" s="20" t="s">
        <v>113</v>
      </c>
      <c r="F11" s="75"/>
      <c r="G11" s="62">
        <v>500</v>
      </c>
      <c r="M11" s="62"/>
      <c r="T11" s="5" t="s">
        <v>74</v>
      </c>
      <c r="W11" s="91">
        <f>+W12</f>
        <v>180000</v>
      </c>
    </row>
    <row r="12" spans="2:27" ht="15.75" thickBot="1" x14ac:dyDescent="0.3">
      <c r="B12" s="20" t="s">
        <v>113</v>
      </c>
      <c r="F12" s="75"/>
      <c r="G12" s="62">
        <v>10000</v>
      </c>
      <c r="M12" s="62"/>
      <c r="W12" s="76">
        <f>+AA12</f>
        <v>180000</v>
      </c>
      <c r="AA12" s="65">
        <f>SUM(AA3:AA11)</f>
        <v>180000</v>
      </c>
    </row>
    <row r="13" spans="2:27" ht="15.75" thickTop="1" x14ac:dyDescent="0.25">
      <c r="B13" s="20" t="s">
        <v>92</v>
      </c>
      <c r="F13" s="75">
        <v>16667</v>
      </c>
      <c r="G13" s="62"/>
      <c r="M13" s="62"/>
      <c r="N13" s="5" t="s">
        <v>74</v>
      </c>
      <c r="Q13" s="5">
        <f>+Q14-Q10-Q9-Q8-Q7-Q6-Q5-Q3-Q4</f>
        <v>455000</v>
      </c>
      <c r="W13" s="9"/>
    </row>
    <row r="14" spans="2:27" ht="15.75" thickBot="1" x14ac:dyDescent="0.3">
      <c r="B14" s="20" t="s">
        <v>120</v>
      </c>
      <c r="F14" s="75">
        <v>10000</v>
      </c>
      <c r="G14" s="62"/>
      <c r="M14" s="63">
        <f>SUM(M3:M13)</f>
        <v>620000</v>
      </c>
      <c r="Q14" s="65">
        <f>+M14</f>
        <v>620000</v>
      </c>
      <c r="W14" s="9"/>
    </row>
    <row r="15" spans="2:27" ht="15.75" thickTop="1" x14ac:dyDescent="0.25">
      <c r="B15" s="20" t="s">
        <v>121</v>
      </c>
      <c r="F15" s="75"/>
      <c r="G15" s="62">
        <v>250000</v>
      </c>
      <c r="M15" s="62"/>
      <c r="W15" s="9"/>
    </row>
    <row r="16" spans="2:27" x14ac:dyDescent="0.25">
      <c r="B16" s="20" t="s">
        <v>125</v>
      </c>
      <c r="F16" s="75">
        <v>5000</v>
      </c>
      <c r="G16" s="62"/>
      <c r="M16" s="62"/>
    </row>
    <row r="17" spans="2:17" x14ac:dyDescent="0.25">
      <c r="B17" s="20" t="s">
        <v>126</v>
      </c>
      <c r="F17" s="75"/>
      <c r="G17" s="62">
        <v>5000</v>
      </c>
    </row>
    <row r="18" spans="2:17" x14ac:dyDescent="0.25">
      <c r="B18" s="20" t="s">
        <v>97</v>
      </c>
      <c r="F18" s="75">
        <f>+Q13</f>
        <v>455000</v>
      </c>
      <c r="G18" s="62"/>
    </row>
    <row r="19" spans="2:17" ht="15.75" x14ac:dyDescent="0.25">
      <c r="B19" s="90" t="s">
        <v>99</v>
      </c>
      <c r="F19" s="75"/>
      <c r="G19" s="62">
        <f>+M26</f>
        <v>1000000</v>
      </c>
      <c r="Q19" s="67"/>
    </row>
    <row r="20" spans="2:17" x14ac:dyDescent="0.25">
      <c r="B20" s="33" t="s">
        <v>102</v>
      </c>
      <c r="F20" s="75">
        <f>+Q46</f>
        <v>65000</v>
      </c>
      <c r="G20" s="62"/>
    </row>
    <row r="21" spans="2:17" x14ac:dyDescent="0.25">
      <c r="B21" s="20" t="s">
        <v>104</v>
      </c>
      <c r="F21" s="75"/>
      <c r="G21" s="62">
        <f>+W11</f>
        <v>180000</v>
      </c>
    </row>
    <row r="22" spans="2:17" ht="15.75" x14ac:dyDescent="0.25">
      <c r="B22" s="20" t="s">
        <v>100</v>
      </c>
      <c r="F22" s="75">
        <f>+Q34</f>
        <v>783333</v>
      </c>
      <c r="G22" s="62"/>
      <c r="M22" s="83" t="s">
        <v>99</v>
      </c>
    </row>
    <row r="23" spans="2:17" x14ac:dyDescent="0.25">
      <c r="B23" s="20"/>
      <c r="F23" s="75"/>
      <c r="G23" s="62"/>
      <c r="J23" s="18"/>
      <c r="K23" s="18"/>
      <c r="L23" s="18"/>
      <c r="M23" s="61"/>
      <c r="N23" s="18" t="s">
        <v>97</v>
      </c>
      <c r="O23" s="18"/>
      <c r="P23" s="18"/>
      <c r="Q23" s="64">
        <v>200000</v>
      </c>
    </row>
    <row r="24" spans="2:17" ht="15.75" x14ac:dyDescent="0.25">
      <c r="B24" s="20"/>
      <c r="F24" s="75">
        <f>SUM(F3:F23)</f>
        <v>1455500</v>
      </c>
      <c r="G24" s="75">
        <f>SUM(G3:G23)</f>
        <v>1455500</v>
      </c>
      <c r="H24" s="92">
        <f>+G24-F24</f>
        <v>0</v>
      </c>
      <c r="M24" s="62"/>
      <c r="N24" s="7" t="s">
        <v>100</v>
      </c>
      <c r="Q24" s="5">
        <v>800000</v>
      </c>
    </row>
    <row r="25" spans="2:17" x14ac:dyDescent="0.25">
      <c r="B25" s="20"/>
      <c r="F25" s="75"/>
      <c r="G25" s="62"/>
      <c r="M25" s="62"/>
    </row>
    <row r="26" spans="2:17" x14ac:dyDescent="0.25">
      <c r="B26" s="20"/>
      <c r="F26" s="75"/>
      <c r="G26" s="62"/>
      <c r="J26" s="5" t="s">
        <v>74</v>
      </c>
      <c r="M26" s="62">
        <f>+M27</f>
        <v>1000000</v>
      </c>
    </row>
    <row r="27" spans="2:17" ht="15.75" thickBot="1" x14ac:dyDescent="0.3">
      <c r="B27" s="20"/>
      <c r="F27" s="75"/>
      <c r="G27" s="62"/>
      <c r="M27" s="63">
        <f>+Q27</f>
        <v>1000000</v>
      </c>
      <c r="Q27" s="65">
        <f>SUM(Q23:Q26)</f>
        <v>1000000</v>
      </c>
    </row>
    <row r="28" spans="2:17" ht="15.75" thickTop="1" x14ac:dyDescent="0.25">
      <c r="B28" s="20"/>
      <c r="F28" s="75"/>
      <c r="G28" s="62"/>
      <c r="M28" s="62"/>
    </row>
    <row r="29" spans="2:17" x14ac:dyDescent="0.25">
      <c r="B29" s="20"/>
      <c r="F29" s="75"/>
      <c r="G29" s="62"/>
      <c r="M29" s="67"/>
    </row>
    <row r="30" spans="2:17" ht="15.75" x14ac:dyDescent="0.25">
      <c r="B30" s="20"/>
      <c r="F30" s="75"/>
      <c r="G30" s="62"/>
      <c r="M30" s="7" t="s">
        <v>100</v>
      </c>
    </row>
    <row r="31" spans="2:17" x14ac:dyDescent="0.25">
      <c r="B31" s="20"/>
      <c r="F31" s="75"/>
      <c r="G31" s="62"/>
      <c r="J31" s="18" t="s">
        <v>99</v>
      </c>
      <c r="K31" s="18"/>
      <c r="L31" s="18"/>
      <c r="M31" s="61">
        <v>800000</v>
      </c>
      <c r="N31" s="18" t="s">
        <v>92</v>
      </c>
      <c r="O31" s="18"/>
      <c r="P31" s="18"/>
      <c r="Q31" s="64">
        <v>16667</v>
      </c>
    </row>
    <row r="32" spans="2:17" x14ac:dyDescent="0.25">
      <c r="B32" s="20"/>
      <c r="F32" s="75"/>
      <c r="G32" s="62"/>
      <c r="M32" s="62"/>
    </row>
    <row r="33" spans="2:17" x14ac:dyDescent="0.25">
      <c r="B33" s="20"/>
      <c r="F33" s="75"/>
      <c r="G33" s="62"/>
      <c r="M33" s="62"/>
    </row>
    <row r="34" spans="2:17" x14ac:dyDescent="0.25">
      <c r="B34" s="20"/>
      <c r="F34" s="75"/>
      <c r="G34" s="62"/>
      <c r="M34" s="62"/>
      <c r="N34" s="5" t="s">
        <v>74</v>
      </c>
      <c r="Q34" s="5">
        <f>+Q35-Q31</f>
        <v>783333</v>
      </c>
    </row>
    <row r="35" spans="2:17" ht="15.75" thickBot="1" x14ac:dyDescent="0.3">
      <c r="B35" s="20"/>
      <c r="F35" s="75"/>
      <c r="G35" s="62"/>
      <c r="M35" s="63">
        <f>SUM(M31:M34)</f>
        <v>800000</v>
      </c>
      <c r="Q35" s="65">
        <f>+M35</f>
        <v>800000</v>
      </c>
    </row>
    <row r="36" spans="2:17" ht="15.75" thickTop="1" x14ac:dyDescent="0.25">
      <c r="B36" s="20"/>
      <c r="F36" s="75"/>
      <c r="G36" s="62"/>
      <c r="M36" s="62"/>
    </row>
    <row r="37" spans="2:17" x14ac:dyDescent="0.25">
      <c r="B37" s="20"/>
      <c r="F37" s="75"/>
      <c r="G37" s="62"/>
      <c r="M37" s="62"/>
    </row>
    <row r="38" spans="2:17" x14ac:dyDescent="0.25">
      <c r="B38" s="20"/>
      <c r="F38" s="75"/>
      <c r="G38" s="62"/>
      <c r="M38" s="62"/>
    </row>
    <row r="39" spans="2:17" x14ac:dyDescent="0.25">
      <c r="B39" s="20"/>
      <c r="F39" s="75"/>
      <c r="G39" s="62"/>
    </row>
    <row r="40" spans="2:17" x14ac:dyDescent="0.25">
      <c r="B40" s="20"/>
      <c r="F40" s="75"/>
      <c r="G40" s="62"/>
      <c r="M40" s="5" t="s">
        <v>102</v>
      </c>
    </row>
    <row r="41" spans="2:17" x14ac:dyDescent="0.25">
      <c r="B41" s="20"/>
      <c r="F41" s="75"/>
      <c r="G41" s="62"/>
      <c r="J41" s="18" t="s">
        <v>97</v>
      </c>
      <c r="K41" s="18"/>
      <c r="L41" s="18"/>
      <c r="M41" s="96">
        <v>20000</v>
      </c>
      <c r="N41" s="18"/>
      <c r="O41" s="18"/>
      <c r="P41" s="18"/>
      <c r="Q41" s="64"/>
    </row>
    <row r="42" spans="2:17" x14ac:dyDescent="0.25">
      <c r="B42" s="20"/>
      <c r="F42" s="75"/>
      <c r="G42" s="62"/>
      <c r="J42" t="s">
        <v>97</v>
      </c>
      <c r="M42" s="95">
        <v>10000</v>
      </c>
    </row>
    <row r="43" spans="2:17" x14ac:dyDescent="0.25">
      <c r="B43" s="20"/>
      <c r="F43" s="75"/>
      <c r="G43" s="62"/>
      <c r="J43" t="s">
        <v>97</v>
      </c>
      <c r="M43" s="95">
        <v>10000</v>
      </c>
    </row>
    <row r="44" spans="2:17" x14ac:dyDescent="0.25">
      <c r="B44" s="20"/>
      <c r="F44" s="75"/>
      <c r="G44" s="62"/>
      <c r="J44" t="s">
        <v>97</v>
      </c>
      <c r="M44" s="95">
        <v>25000</v>
      </c>
    </row>
    <row r="45" spans="2:17" x14ac:dyDescent="0.25">
      <c r="B45" s="20"/>
      <c r="F45" s="75"/>
      <c r="G45" s="62"/>
      <c r="M45" s="62"/>
    </row>
    <row r="46" spans="2:17" x14ac:dyDescent="0.25">
      <c r="B46" s="20"/>
      <c r="F46" s="75"/>
      <c r="G46" s="62"/>
      <c r="M46" s="62"/>
      <c r="N46" s="5" t="s">
        <v>74</v>
      </c>
      <c r="Q46" s="5">
        <f>+Q47</f>
        <v>65000</v>
      </c>
    </row>
    <row r="47" spans="2:17" ht="15.75" thickBot="1" x14ac:dyDescent="0.3">
      <c r="B47" s="20"/>
      <c r="F47" s="75"/>
      <c r="G47" s="62"/>
      <c r="M47" s="63">
        <f>SUM(M41:M46)</f>
        <v>65000</v>
      </c>
      <c r="Q47" s="65">
        <f>+M47</f>
        <v>65000</v>
      </c>
    </row>
    <row r="48" spans="2:17" ht="15.75" thickTop="1" x14ac:dyDescent="0.25">
      <c r="B48" s="20"/>
      <c r="F48" s="75"/>
      <c r="G48" s="62"/>
      <c r="M48" s="62"/>
    </row>
    <row r="49" spans="2:17" x14ac:dyDescent="0.25">
      <c r="B49" s="20"/>
      <c r="F49" s="75"/>
      <c r="G49" s="62"/>
      <c r="M49" s="62"/>
    </row>
    <row r="50" spans="2:17" x14ac:dyDescent="0.25">
      <c r="B50" s="20"/>
      <c r="F50" s="75"/>
      <c r="G50" s="62"/>
      <c r="M50" s="62"/>
    </row>
    <row r="51" spans="2:17" x14ac:dyDescent="0.25">
      <c r="B51" s="20"/>
      <c r="F51" s="75"/>
      <c r="G51" s="62"/>
    </row>
    <row r="52" spans="2:17" x14ac:dyDescent="0.25">
      <c r="B52" s="20"/>
      <c r="F52" s="75"/>
      <c r="G52" s="62"/>
      <c r="J52" s="85" t="s">
        <v>114</v>
      </c>
      <c r="K52" s="85"/>
      <c r="O52" s="85" t="s">
        <v>122</v>
      </c>
      <c r="P52" s="85"/>
      <c r="Q52" s="72"/>
    </row>
    <row r="53" spans="2:17" ht="15.75" x14ac:dyDescent="0.25">
      <c r="B53" s="20"/>
      <c r="F53" s="75"/>
      <c r="G53" s="62"/>
      <c r="M53" s="7"/>
      <c r="Q53" s="67"/>
    </row>
    <row r="54" spans="2:17" ht="15.75" x14ac:dyDescent="0.25">
      <c r="B54" s="20"/>
      <c r="F54" s="75"/>
      <c r="G54" s="62"/>
      <c r="J54" s="7" t="s">
        <v>115</v>
      </c>
      <c r="L54" s="86">
        <v>800000</v>
      </c>
      <c r="M54" s="67"/>
      <c r="O54" t="s">
        <v>123</v>
      </c>
      <c r="P54" s="67">
        <v>250000</v>
      </c>
      <c r="Q54" s="67"/>
    </row>
    <row r="55" spans="2:17" x14ac:dyDescent="0.25">
      <c r="B55" s="20"/>
      <c r="F55" s="75"/>
      <c r="G55" s="62"/>
      <c r="M55" s="67"/>
      <c r="Q55" s="67"/>
    </row>
    <row r="56" spans="2:17" x14ac:dyDescent="0.25">
      <c r="B56" s="20"/>
      <c r="F56" s="75"/>
      <c r="G56" s="62"/>
      <c r="J56" t="s">
        <v>116</v>
      </c>
      <c r="L56" s="87">
        <v>4</v>
      </c>
      <c r="M56" s="67"/>
      <c r="O56" t="s">
        <v>124</v>
      </c>
      <c r="P56" s="89">
        <v>0.02</v>
      </c>
      <c r="Q56" s="67"/>
    </row>
    <row r="57" spans="2:17" x14ac:dyDescent="0.25">
      <c r="B57" s="20"/>
      <c r="F57" s="75"/>
      <c r="G57" s="62"/>
      <c r="M57" s="67"/>
      <c r="Q57" s="67"/>
    </row>
    <row r="58" spans="2:17" x14ac:dyDescent="0.25">
      <c r="B58" s="20"/>
      <c r="F58" s="75"/>
      <c r="G58" s="62"/>
      <c r="J58" t="s">
        <v>117</v>
      </c>
      <c r="L58" s="86">
        <f>+L54/L56</f>
        <v>200000</v>
      </c>
      <c r="M58" s="67"/>
      <c r="P58" s="1">
        <f>+P54*P56</f>
        <v>5000</v>
      </c>
      <c r="Q58" s="67"/>
    </row>
    <row r="59" spans="2:17" x14ac:dyDescent="0.25">
      <c r="B59" s="20"/>
      <c r="F59" s="75"/>
      <c r="G59" s="62"/>
      <c r="M59" s="67"/>
      <c r="Q59" s="67"/>
    </row>
    <row r="60" spans="2:17" x14ac:dyDescent="0.25">
      <c r="B60" s="28"/>
      <c r="C60" s="3"/>
      <c r="D60" s="3"/>
      <c r="E60" s="3"/>
      <c r="F60" s="52"/>
      <c r="G60" s="84"/>
      <c r="J60" t="s">
        <v>118</v>
      </c>
      <c r="L60" s="4" t="s">
        <v>119</v>
      </c>
      <c r="M60" s="67"/>
      <c r="Q60" s="67"/>
    </row>
    <row r="61" spans="2:17" x14ac:dyDescent="0.25">
      <c r="M61" s="67"/>
      <c r="Q61" s="67"/>
    </row>
    <row r="62" spans="2:17" x14ac:dyDescent="0.25">
      <c r="L62" s="88">
        <f>200000/12</f>
        <v>16666.666666666668</v>
      </c>
      <c r="M62" s="67"/>
      <c r="Q62" s="67"/>
    </row>
    <row r="63" spans="2:17" x14ac:dyDescent="0.25">
      <c r="M63" s="67"/>
      <c r="Q63" s="67"/>
    </row>
    <row r="64" spans="2:17" x14ac:dyDescent="0.25">
      <c r="M64" s="67"/>
      <c r="Q64" s="67"/>
    </row>
    <row r="65" spans="13:17" x14ac:dyDescent="0.25">
      <c r="M65" s="67"/>
      <c r="Q65" s="67"/>
    </row>
    <row r="66" spans="13:17" x14ac:dyDescent="0.25">
      <c r="M66" s="67"/>
      <c r="Q66" s="67"/>
    </row>
    <row r="67" spans="13:17" x14ac:dyDescent="0.25">
      <c r="M67" s="67"/>
      <c r="Q67" s="67"/>
    </row>
    <row r="68" spans="13:17" x14ac:dyDescent="0.25">
      <c r="M68" s="67"/>
      <c r="Q68" s="67"/>
    </row>
    <row r="69" spans="13:17" x14ac:dyDescent="0.25">
      <c r="M69" s="67"/>
      <c r="Q69" s="67"/>
    </row>
    <row r="70" spans="13:17" x14ac:dyDescent="0.25">
      <c r="M70" s="67"/>
      <c r="Q70" s="67"/>
    </row>
    <row r="71" spans="13:17" x14ac:dyDescent="0.25">
      <c r="M71" s="67"/>
      <c r="Q71" s="67"/>
    </row>
    <row r="72" spans="13:17" x14ac:dyDescent="0.25">
      <c r="M72" s="67"/>
      <c r="Q72" s="67"/>
    </row>
    <row r="73" spans="13:17" x14ac:dyDescent="0.25">
      <c r="M73" s="67"/>
      <c r="Q73" s="67"/>
    </row>
    <row r="74" spans="13:17" x14ac:dyDescent="0.25">
      <c r="M74" s="67"/>
      <c r="Q74" s="67"/>
    </row>
    <row r="75" spans="13:17" x14ac:dyDescent="0.25">
      <c r="M75" s="67"/>
      <c r="Q75" s="67"/>
    </row>
    <row r="76" spans="13:17" x14ac:dyDescent="0.25">
      <c r="M76" s="67"/>
      <c r="Q76" s="67"/>
    </row>
    <row r="77" spans="13:17" x14ac:dyDescent="0.25">
      <c r="M77" s="67"/>
      <c r="Q77" s="67"/>
    </row>
    <row r="78" spans="13:17" x14ac:dyDescent="0.25">
      <c r="M78" s="67"/>
      <c r="Q78" s="67"/>
    </row>
  </sheetData>
  <pageMargins left="0.7" right="0.7" top="0.75" bottom="0.75" header="0.3" footer="0.3"/>
  <pageSetup orientation="portrait" r:id="rId1"/>
  <picture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8B9F6A038FFD48B3F53FADE6F03746" ma:contentTypeVersion="4" ma:contentTypeDescription="Create a new document." ma:contentTypeScope="" ma:versionID="b899c2094ad987f3a5c3990260ae6547">
  <xsd:schema xmlns:xsd="http://www.w3.org/2001/XMLSchema" xmlns:xs="http://www.w3.org/2001/XMLSchema" xmlns:p="http://schemas.microsoft.com/office/2006/metadata/properties" xmlns:ns3="ce34ec9d-2eee-4de5-8715-295ccce08ae8" targetNamespace="http://schemas.microsoft.com/office/2006/metadata/properties" ma:root="true" ma:fieldsID="96c671814de7f842aea96d6791c3853d" ns3:_="">
    <xsd:import namespace="ce34ec9d-2eee-4de5-8715-295ccce08ae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34ec9d-2eee-4de5-8715-295ccce08a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8A05D2-C305-496D-B281-4821631F10E3}">
  <ds:schemaRefs>
    <ds:schemaRef ds:uri="http://www.w3.org/XML/1998/namespace"/>
    <ds:schemaRef ds:uri="ce34ec9d-2eee-4de5-8715-295ccce08ae8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1CC267AE-C80C-45BF-A044-94AFD7E001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FBD12FA-EE3B-4C47-BE0C-95E7147BE4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34ec9d-2eee-4de5-8715-295ccce08a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Q2</vt:lpstr>
      <vt:lpstr>Q3</vt:lpstr>
      <vt:lpstr>Q4</vt:lpstr>
      <vt:lpstr>Q5</vt:lpstr>
      <vt:lpstr>Q6</vt:lpstr>
      <vt:lpstr>'Q2'!Print_Area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JMC pro</cp:lastModifiedBy>
  <cp:lastPrinted>2023-08-10T16:17:35Z</cp:lastPrinted>
  <dcterms:created xsi:type="dcterms:W3CDTF">2021-07-27T03:09:30Z</dcterms:created>
  <dcterms:modified xsi:type="dcterms:W3CDTF">2023-08-10T16:49:40Z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0x0101005F8B9F6A038FFD48B3F53FADE6F03746</vt:lpwstr>
  </property>
</Properties>
</file>