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F:\Staff\Nadeesha\User\New 2021\AAT\2023 July Seminar\"/>
    </mc:Choice>
  </mc:AlternateContent>
  <xr:revisionPtr revIDLastSave="0" documentId="8_{A555D393-F1BC-4AB1-912A-A77C3790B85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Q2" sheetId="1" r:id="rId1"/>
    <sheet name="Q3" sheetId="2" r:id="rId2"/>
    <sheet name="Q5" sheetId="3" r:id="rId3"/>
    <sheet name="Q1" sheetId="4" r:id="rId4"/>
    <sheet name="Q6" sheetId="5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9" i="5" l="1"/>
  <c r="I75" i="5"/>
  <c r="I70" i="5"/>
  <c r="I63" i="5"/>
  <c r="I60" i="5"/>
  <c r="K52" i="5"/>
  <c r="K55" i="5"/>
  <c r="K49" i="5"/>
  <c r="I55" i="5"/>
  <c r="I49" i="5"/>
  <c r="R6" i="4"/>
  <c r="P6" i="4"/>
  <c r="S8" i="4"/>
  <c r="D38" i="3"/>
  <c r="D32" i="3"/>
  <c r="D36" i="3" s="1"/>
  <c r="H27" i="3"/>
  <c r="F31" i="3"/>
  <c r="H31" i="3" s="1"/>
  <c r="F29" i="3"/>
  <c r="H29" i="3" s="1"/>
  <c r="F27" i="3"/>
  <c r="Q36" i="2"/>
  <c r="Q33" i="2"/>
  <c r="P34" i="2"/>
  <c r="G26" i="2"/>
  <c r="G27" i="2" s="1"/>
  <c r="E25" i="2"/>
  <c r="E27" i="2" s="1"/>
  <c r="R11" i="2"/>
  <c r="M11" i="2"/>
  <c r="R9" i="2"/>
  <c r="M9" i="2"/>
  <c r="P7" i="2"/>
  <c r="N7" i="2"/>
  <c r="P6" i="2"/>
  <c r="N6" i="2"/>
  <c r="P5" i="2"/>
  <c r="N5" i="2"/>
  <c r="L60" i="1"/>
  <c r="L58" i="1"/>
  <c r="I39" i="1"/>
  <c r="I41" i="1" s="1"/>
  <c r="I43" i="1" s="1"/>
  <c r="I45" i="1" s="1"/>
  <c r="I47" i="1" s="1"/>
  <c r="I49" i="1" s="1"/>
  <c r="H32" i="3" l="1"/>
  <c r="D35" i="3" s="1"/>
</calcChain>
</file>

<file path=xl/sharedStrings.xml><?xml version="1.0" encoding="utf-8"?>
<sst xmlns="http://schemas.openxmlformats.org/spreadsheetml/2006/main" count="136" uniqueCount="127">
  <si>
    <t>1. Sunk Cost (Past Cost)</t>
  </si>
  <si>
    <t>Yr</t>
  </si>
  <si>
    <t>CFs</t>
  </si>
  <si>
    <t>Cum: CFs</t>
  </si>
  <si>
    <t>Rs '000</t>
  </si>
  <si>
    <t>12 Months</t>
  </si>
  <si>
    <r>
      <t>PBP = 4 Yrs and 4.6</t>
    </r>
    <r>
      <rPr>
        <b/>
        <sz val="11"/>
        <color rgb="FF00B050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Months</t>
    </r>
  </si>
  <si>
    <t>PBP= 4 Yrs 4 Month and 18 Days</t>
  </si>
  <si>
    <t>Product A</t>
  </si>
  <si>
    <t>Product B</t>
  </si>
  <si>
    <t>M1</t>
  </si>
  <si>
    <t>M2</t>
  </si>
  <si>
    <t>D/L Hrs</t>
  </si>
  <si>
    <t>Unlimited</t>
  </si>
  <si>
    <t>Kg</t>
  </si>
  <si>
    <t>Hrs</t>
  </si>
  <si>
    <t>(4 Kg* 25000)+ (4Kg *32000)</t>
  </si>
  <si>
    <t>Limiting Factor 1</t>
  </si>
  <si>
    <t>( 1.5 hrs * 25000) +(1 Hr * 32000)</t>
  </si>
  <si>
    <t>Limiting Factor 2</t>
  </si>
  <si>
    <t>(a) Calculation of Contribution</t>
  </si>
  <si>
    <t>A</t>
  </si>
  <si>
    <t>B</t>
  </si>
  <si>
    <t>SP Rs</t>
  </si>
  <si>
    <t>(-) V/C</t>
  </si>
  <si>
    <t>(360+240+375+120)</t>
  </si>
  <si>
    <t>Cont"</t>
  </si>
  <si>
    <t>(240+240+250+80)</t>
  </si>
  <si>
    <t>(b) Identify the Variables</t>
  </si>
  <si>
    <r>
      <rPr>
        <sz val="18"/>
        <color rgb="FFFF0000"/>
        <rFont val="Calibri"/>
        <family val="2"/>
        <scheme val="minor"/>
      </rPr>
      <t>x</t>
    </r>
    <r>
      <rPr>
        <sz val="14"/>
        <color rgb="FF7030A0"/>
        <rFont val="Calibri"/>
        <family val="2"/>
        <scheme val="minor"/>
      </rPr>
      <t xml:space="preserve"> = No. of Units produced by product "A"</t>
    </r>
  </si>
  <si>
    <r>
      <rPr>
        <sz val="18"/>
        <color rgb="FFFF0000"/>
        <rFont val="Calibri"/>
        <family val="2"/>
        <scheme val="minor"/>
      </rPr>
      <t>y</t>
    </r>
    <r>
      <rPr>
        <sz val="14"/>
        <color rgb="FF7030A0"/>
        <rFont val="Calibri"/>
        <family val="2"/>
        <scheme val="minor"/>
      </rPr>
      <t>= No. of Units produced by product "B"</t>
    </r>
  </si>
  <si>
    <r>
      <t>Z</t>
    </r>
    <r>
      <rPr>
        <vertAlign val="subscript"/>
        <sz val="18"/>
        <color theme="1"/>
        <rFont val="Calibri"/>
        <family val="2"/>
        <scheme val="minor"/>
      </rPr>
      <t xml:space="preserve"> Max</t>
    </r>
  </si>
  <si>
    <t>= 105x + 90y</t>
  </si>
  <si>
    <t>Objective Function = Maximize the Contribution= Z</t>
  </si>
  <si>
    <t>Limiting Factors / Constraints</t>
  </si>
  <si>
    <t>4x     +     4y</t>
  </si>
  <si>
    <t>&lt;</t>
  </si>
  <si>
    <t>DL Hrs</t>
  </si>
  <si>
    <t>1.5x     +     y</t>
  </si>
  <si>
    <t>X or Y</t>
  </si>
  <si>
    <t>Non Negativity</t>
  </si>
  <si>
    <t>&gt;</t>
  </si>
  <si>
    <t>4x+ 4y = 220000</t>
  </si>
  <si>
    <t>x</t>
  </si>
  <si>
    <t>y</t>
  </si>
  <si>
    <r>
      <t>1. Cost of O/Shares (K</t>
    </r>
    <r>
      <rPr>
        <b/>
        <u/>
        <vertAlign val="subscript"/>
        <sz val="14"/>
        <color theme="1"/>
        <rFont val="Calibri"/>
        <family val="2"/>
        <scheme val="minor"/>
      </rPr>
      <t>e</t>
    </r>
    <r>
      <rPr>
        <b/>
        <u/>
        <sz val="14"/>
        <color theme="1"/>
        <rFont val="Calibri"/>
        <family val="2"/>
        <scheme val="minor"/>
      </rPr>
      <t xml:space="preserve"> or r</t>
    </r>
    <r>
      <rPr>
        <b/>
        <u/>
        <vertAlign val="subscript"/>
        <sz val="14"/>
        <color theme="1"/>
        <rFont val="Calibri"/>
        <family val="2"/>
        <scheme val="minor"/>
      </rPr>
      <t>e</t>
    </r>
    <r>
      <rPr>
        <b/>
        <u/>
        <sz val="14"/>
        <color theme="1"/>
        <rFont val="Calibri"/>
        <family val="2"/>
        <scheme val="minor"/>
      </rPr>
      <t>)</t>
    </r>
  </si>
  <si>
    <r>
      <t>2. Cost of Irr/Debentire (K</t>
    </r>
    <r>
      <rPr>
        <b/>
        <u/>
        <vertAlign val="subscript"/>
        <sz val="14"/>
        <color theme="1"/>
        <rFont val="Calibri"/>
        <family val="2"/>
        <scheme val="minor"/>
      </rPr>
      <t>d</t>
    </r>
    <r>
      <rPr>
        <b/>
        <u/>
        <sz val="14"/>
        <color theme="1"/>
        <rFont val="Calibri"/>
        <family val="2"/>
        <scheme val="minor"/>
      </rPr>
      <t xml:space="preserve"> or r</t>
    </r>
    <r>
      <rPr>
        <b/>
        <u/>
        <vertAlign val="subscript"/>
        <sz val="14"/>
        <color theme="1"/>
        <rFont val="Calibri"/>
        <family val="2"/>
        <scheme val="minor"/>
      </rPr>
      <t>d</t>
    </r>
    <r>
      <rPr>
        <b/>
        <u/>
        <sz val="14"/>
        <color theme="1"/>
        <rFont val="Calibri"/>
        <family val="2"/>
        <scheme val="minor"/>
      </rPr>
      <t>)</t>
    </r>
  </si>
  <si>
    <t>Do= 4.5</t>
  </si>
  <si>
    <t>g= 0.04</t>
  </si>
  <si>
    <t>Po= (500,000,000/20,000,000) = 25/=</t>
  </si>
  <si>
    <t>i= 100*12% =12</t>
  </si>
  <si>
    <t>Po= (800,000,000/8,000,000) = 100/=</t>
  </si>
  <si>
    <t>d= 1.40</t>
  </si>
  <si>
    <t>Po= (200,000,000/10,000,000) = 20/=</t>
  </si>
  <si>
    <r>
      <t>2. Cost of Irr/p (K</t>
    </r>
    <r>
      <rPr>
        <b/>
        <u/>
        <vertAlign val="subscript"/>
        <sz val="14"/>
        <color theme="1"/>
        <rFont val="Calibri"/>
        <family val="2"/>
        <scheme val="minor"/>
      </rPr>
      <t>p</t>
    </r>
    <r>
      <rPr>
        <b/>
        <u/>
        <sz val="14"/>
        <color theme="1"/>
        <rFont val="Calibri"/>
        <family val="2"/>
        <scheme val="minor"/>
      </rPr>
      <t xml:space="preserve"> or r</t>
    </r>
    <r>
      <rPr>
        <b/>
        <u/>
        <vertAlign val="subscript"/>
        <sz val="14"/>
        <color theme="1"/>
        <rFont val="Calibri"/>
        <family val="2"/>
        <scheme val="minor"/>
      </rPr>
      <t>p</t>
    </r>
    <r>
      <rPr>
        <b/>
        <u/>
        <sz val="14"/>
        <color theme="1"/>
        <rFont val="Calibri"/>
        <family val="2"/>
        <scheme val="minor"/>
      </rPr>
      <t>)</t>
    </r>
  </si>
  <si>
    <t>Source of Finance</t>
  </si>
  <si>
    <t>1. O/Shares</t>
  </si>
  <si>
    <t>2. Irre/Debenture</t>
  </si>
  <si>
    <t>3. Irre/P/Shares</t>
  </si>
  <si>
    <t>Mkt Values</t>
  </si>
  <si>
    <t>Cost of Capital</t>
  </si>
  <si>
    <t>Weighted CoC</t>
  </si>
  <si>
    <t>= (A*B)</t>
  </si>
  <si>
    <t xml:space="preserve">WACC = </t>
  </si>
  <si>
    <t>*100</t>
  </si>
  <si>
    <t>Debtor's Collection Period =DCP</t>
  </si>
  <si>
    <t>2022/23</t>
  </si>
  <si>
    <t>2021/22</t>
  </si>
  <si>
    <t>2020/21</t>
  </si>
  <si>
    <t>Sales</t>
  </si>
  <si>
    <t>(-) Cost of Sales</t>
  </si>
  <si>
    <t>Gross Profit</t>
  </si>
  <si>
    <t>61.25 Days</t>
  </si>
  <si>
    <t>61 Days</t>
  </si>
  <si>
    <t>66.172 Days</t>
  </si>
  <si>
    <t>66 Days</t>
  </si>
  <si>
    <t>Material Variance (F or A)</t>
  </si>
  <si>
    <t>Price Varinace</t>
  </si>
  <si>
    <t>Quantity (Usage)</t>
  </si>
  <si>
    <t>Std Price</t>
  </si>
  <si>
    <t>Differ</t>
  </si>
  <si>
    <t>Actual Price</t>
  </si>
  <si>
    <t>Std Usage</t>
  </si>
  <si>
    <t>Actual Usages on behalf of Stds</t>
  </si>
  <si>
    <t>Material Mix</t>
  </si>
  <si>
    <t>Material Yield</t>
  </si>
  <si>
    <t>Actual Qty   X Std Price</t>
  </si>
  <si>
    <t>Material A</t>
  </si>
  <si>
    <t>Matrial B</t>
  </si>
  <si>
    <t>(22000Kg* Rs 400)</t>
  </si>
  <si>
    <t>(28,000* Rs 150)</t>
  </si>
  <si>
    <t>Mix Variance-Material</t>
  </si>
  <si>
    <r>
      <t>Total Qty   X</t>
    </r>
    <r>
      <rPr>
        <sz val="14"/>
        <color rgb="FF00B0F0"/>
        <rFont val="Calibri"/>
        <family val="2"/>
        <scheme val="minor"/>
      </rPr>
      <t xml:space="preserve"> Std Mix</t>
    </r>
    <r>
      <rPr>
        <sz val="14"/>
        <color theme="1"/>
        <rFont val="Calibri"/>
        <family val="2"/>
        <scheme val="minor"/>
      </rPr>
      <t xml:space="preserve">  X Std Price</t>
    </r>
  </si>
  <si>
    <t>(50,000Kg * (2/5Kg)* Rs 400)</t>
  </si>
  <si>
    <t>(50,000 Kg * (3/5)* Rs 150)</t>
  </si>
  <si>
    <t>800000 A</t>
  </si>
  <si>
    <t>300,000 F</t>
  </si>
  <si>
    <t>Actual Sales Qty   X Actal S/Price (Actual Margin)</t>
  </si>
  <si>
    <t>Sales Price Variance</t>
  </si>
  <si>
    <r>
      <t>Actual Sales Qty  X</t>
    </r>
    <r>
      <rPr>
        <sz val="14"/>
        <color rgb="FF00B0F0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 Std Selling Price (Std Margin)</t>
    </r>
  </si>
  <si>
    <t>(1,800 * 12,000)</t>
  </si>
  <si>
    <t>1,800,000 F</t>
  </si>
  <si>
    <t>(1,800 * 13,000)</t>
  </si>
  <si>
    <t>(1,800*7,200)</t>
  </si>
  <si>
    <t>(1,800* 6,200)</t>
  </si>
  <si>
    <t>Budgeted Sales Qty X Std Margin</t>
  </si>
  <si>
    <t>(2,000 *12,000)</t>
  </si>
  <si>
    <t>(2,000* 6,200)</t>
  </si>
  <si>
    <t>Sales Volume Varinace</t>
  </si>
  <si>
    <t>2400000 A</t>
  </si>
  <si>
    <t>Actual Purchased Qty    X Actual Price</t>
  </si>
  <si>
    <t>Actual Purchased Qty    X Std Price</t>
  </si>
  <si>
    <t>Price Variance</t>
  </si>
  <si>
    <t>(18,800Kg * 550)</t>
  </si>
  <si>
    <t>(18,800Kg *400)</t>
  </si>
  <si>
    <t>2,820,000 A</t>
  </si>
  <si>
    <t>Std Ugase      X Std Price</t>
  </si>
  <si>
    <t>( 1,800 Units *10Kg)</t>
  </si>
  <si>
    <t>(18,000Kg *400)</t>
  </si>
  <si>
    <t>Uasge Variance</t>
  </si>
  <si>
    <t>500,000 A</t>
  </si>
  <si>
    <t>Actual Labour Hrs    X Actual rate</t>
  </si>
  <si>
    <t>Actual Labour    X Std Rate</t>
  </si>
  <si>
    <t>(6,100 Hrs * 200)</t>
  </si>
  <si>
    <t>(6,100 Hrs * 150)</t>
  </si>
  <si>
    <t>Rate Variance</t>
  </si>
  <si>
    <t>305,000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</si>
</sst>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4"/>
      <color rgb="FF7030A0"/>
      <name val="Calibri"/>
      <family val="2"/>
      <scheme val="minor"/>
    </font>
    <font>
      <sz val="14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vertAlign val="subscript"/>
      <sz val="18"/>
      <color theme="1"/>
      <name val="Calibri"/>
      <family val="2"/>
      <scheme val="minor"/>
    </font>
    <font>
      <sz val="36"/>
      <color theme="1"/>
      <name val="Book Antiqua"/>
      <family val="1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vertAlign val="subscript"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64" fontId="0" fillId="0" borderId="0" xfId="1" applyNumberFormat="1" applyFont="1"/>
    <xf numFmtId="164" fontId="0" fillId="0" borderId="0" xfId="1" applyNumberFormat="1" applyFont="1" applyAlignment="1">
      <alignment horizontal="center"/>
    </xf>
    <xf numFmtId="164" fontId="0" fillId="0" borderId="0" xfId="0" applyNumberFormat="1"/>
    <xf numFmtId="164" fontId="0" fillId="2" borderId="0" xfId="0" applyNumberFormat="1" applyFill="1"/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4" fontId="2" fillId="0" borderId="0" xfId="0" applyNumberFormat="1" applyFont="1"/>
    <xf numFmtId="0" fontId="5" fillId="0" borderId="0" xfId="0" applyFont="1"/>
    <xf numFmtId="0" fontId="0" fillId="2" borderId="0" xfId="0" applyFill="1"/>
    <xf numFmtId="0" fontId="0" fillId="0" borderId="1" xfId="0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/>
    <xf numFmtId="0" fontId="5" fillId="0" borderId="2" xfId="0" applyFont="1" applyBorder="1"/>
    <xf numFmtId="0" fontId="10" fillId="0" borderId="0" xfId="0" applyFont="1"/>
    <xf numFmtId="0" fontId="8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0" fillId="0" borderId="0" xfId="0" quotePrefix="1"/>
    <xf numFmtId="0" fontId="14" fillId="0" borderId="0" xfId="0" quotePrefix="1" applyFont="1" applyAlignment="1">
      <alignment horizontal="left"/>
    </xf>
    <xf numFmtId="0" fontId="13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4" fillId="2" borderId="0" xfId="0" applyFont="1" applyFill="1"/>
    <xf numFmtId="0" fontId="14" fillId="0" borderId="0" xfId="0" applyFont="1" applyAlignment="1">
      <alignment horizontal="left"/>
    </xf>
    <xf numFmtId="0" fontId="18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20" fillId="0" borderId="0" xfId="0" applyFont="1"/>
    <xf numFmtId="10" fontId="19" fillId="0" borderId="0" xfId="0" applyNumberFormat="1" applyFont="1"/>
    <xf numFmtId="0" fontId="3" fillId="0" borderId="0" xfId="0" applyFont="1" applyAlignment="1">
      <alignment horizontal="center" vertical="center" wrapText="1"/>
    </xf>
    <xf numFmtId="3" fontId="0" fillId="0" borderId="0" xfId="0" applyNumberFormat="1"/>
    <xf numFmtId="0" fontId="3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164" fontId="0" fillId="2" borderId="0" xfId="1" applyNumberFormat="1" applyFont="1" applyFill="1"/>
    <xf numFmtId="0" fontId="0" fillId="0" borderId="2" xfId="0" applyBorder="1"/>
    <xf numFmtId="3" fontId="22" fillId="0" borderId="2" xfId="0" applyNumberFormat="1" applyFont="1" applyBorder="1"/>
    <xf numFmtId="164" fontId="22" fillId="0" borderId="2" xfId="0" applyNumberFormat="1" applyFont="1" applyBorder="1"/>
    <xf numFmtId="0" fontId="3" fillId="0" borderId="0" xfId="0" applyFont="1" applyAlignment="1">
      <alignment vertical="center"/>
    </xf>
    <xf numFmtId="3" fontId="0" fillId="0" borderId="0" xfId="0" applyNumberFormat="1" applyAlignment="1">
      <alignment horizontal="center"/>
    </xf>
    <xf numFmtId="10" fontId="19" fillId="0" borderId="0" xfId="2" applyNumberFormat="1" applyFont="1"/>
    <xf numFmtId="0" fontId="2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vertical="top"/>
    </xf>
    <xf numFmtId="9" fontId="3" fillId="0" borderId="0" xfId="0" applyNumberFormat="1" applyFont="1"/>
    <xf numFmtId="9" fontId="3" fillId="0" borderId="0" xfId="0" applyNumberFormat="1" applyFont="1" applyAlignment="1">
      <alignment horizontal="center"/>
    </xf>
    <xf numFmtId="164" fontId="0" fillId="0" borderId="2" xfId="1" applyNumberFormat="1" applyFont="1" applyBorder="1"/>
    <xf numFmtId="164" fontId="5" fillId="0" borderId="0" xfId="1" applyNumberFormat="1" applyFont="1"/>
    <xf numFmtId="0" fontId="4" fillId="2" borderId="0" xfId="0" applyFont="1" applyFill="1"/>
    <xf numFmtId="0" fontId="13" fillId="2" borderId="0" xfId="0" applyFont="1" applyFill="1"/>
    <xf numFmtId="0" fontId="11" fillId="0" borderId="0" xfId="0" applyFont="1"/>
    <xf numFmtId="164" fontId="0" fillId="3" borderId="0" xfId="1" applyNumberFormat="1" applyFont="1" applyFill="1"/>
    <xf numFmtId="0" fontId="0" fillId="3" borderId="0" xfId="0" applyFill="1"/>
    <xf numFmtId="0" fontId="3" fillId="3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171450</xdr:colOff>
      <xdr:row>23</xdr:row>
      <xdr:rowOff>166688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5068" r="7299" b="12749"/>
        <a:stretch/>
      </xdr:blipFill>
      <xdr:spPr>
        <a:xfrm>
          <a:off x="0" y="0"/>
          <a:ext cx="12018169" cy="4548188"/>
        </a:xfrm>
        <a:prstGeom prst="rect">
          <a:avLst/>
        </a:prstGeom>
      </xdr:spPr>
    </xdr:pic>
    <xdr:clientData/>
  </xdr:twoCellAnchor>
  <xdr:twoCellAnchor>
    <xdr:from>
      <xdr:col>6</xdr:col>
      <xdr:colOff>609600</xdr:colOff>
      <xdr:row>38</xdr:row>
      <xdr:rowOff>161925</xdr:rowOff>
    </xdr:from>
    <xdr:to>
      <xdr:col>8</xdr:col>
      <xdr:colOff>95250</xdr:colOff>
      <xdr:row>40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4267200" y="7410450"/>
          <a:ext cx="800100" cy="285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40</xdr:row>
      <xdr:rowOff>76200</xdr:rowOff>
    </xdr:from>
    <xdr:to>
      <xdr:col>8</xdr:col>
      <xdr:colOff>19050</xdr:colOff>
      <xdr:row>40</xdr:row>
      <xdr:rowOff>114300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295775" y="7705725"/>
          <a:ext cx="695325" cy="38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40</xdr:row>
      <xdr:rowOff>161925</xdr:rowOff>
    </xdr:from>
    <xdr:to>
      <xdr:col>8</xdr:col>
      <xdr:colOff>123825</xdr:colOff>
      <xdr:row>42</xdr:row>
      <xdr:rowOff>66675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 flipH="1">
          <a:off x="4295775" y="7791450"/>
          <a:ext cx="800100" cy="285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666750</xdr:colOff>
      <xdr:row>42</xdr:row>
      <xdr:rowOff>76200</xdr:rowOff>
    </xdr:from>
    <xdr:to>
      <xdr:col>8</xdr:col>
      <xdr:colOff>47625</xdr:colOff>
      <xdr:row>42</xdr:row>
      <xdr:rowOff>114300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4324350" y="8086725"/>
          <a:ext cx="695325" cy="38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50</xdr:row>
      <xdr:rowOff>180975</xdr:rowOff>
    </xdr:from>
    <xdr:to>
      <xdr:col>10</xdr:col>
      <xdr:colOff>542925</xdr:colOff>
      <xdr:row>52</xdr:row>
      <xdr:rowOff>57150</xdr:rowOff>
    </xdr:to>
    <xdr:sp macro="" textlink="">
      <xdr:nvSpPr>
        <xdr:cNvPr id="11" name="Equal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438900" y="9715500"/>
          <a:ext cx="295275" cy="257175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398457</xdr:colOff>
      <xdr:row>20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838" t="16408" r="10018" b="13531"/>
        <a:stretch/>
      </xdr:blipFill>
      <xdr:spPr>
        <a:xfrm>
          <a:off x="0" y="0"/>
          <a:ext cx="7475532" cy="3867150"/>
        </a:xfrm>
        <a:prstGeom prst="rect">
          <a:avLst/>
        </a:prstGeom>
      </xdr:spPr>
    </xdr:pic>
    <xdr:clientData/>
  </xdr:twoCellAnchor>
  <xdr:twoCellAnchor>
    <xdr:from>
      <xdr:col>14</xdr:col>
      <xdr:colOff>180975</xdr:colOff>
      <xdr:row>3</xdr:row>
      <xdr:rowOff>180975</xdr:rowOff>
    </xdr:from>
    <xdr:to>
      <xdr:col>14</xdr:col>
      <xdr:colOff>381000</xdr:colOff>
      <xdr:row>5</xdr:row>
      <xdr:rowOff>9525</xdr:rowOff>
    </xdr:to>
    <xdr:sp macro="" textlink="">
      <xdr:nvSpPr>
        <xdr:cNvPr id="3" name="Plu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924925" y="752475"/>
          <a:ext cx="200025" cy="219075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190500</xdr:colOff>
      <xdr:row>3</xdr:row>
      <xdr:rowOff>161925</xdr:rowOff>
    </xdr:from>
    <xdr:to>
      <xdr:col>16</xdr:col>
      <xdr:colOff>438150</xdr:colOff>
      <xdr:row>5</xdr:row>
      <xdr:rowOff>19050</xdr:rowOff>
    </xdr:to>
    <xdr:sp macro="" textlink="">
      <xdr:nvSpPr>
        <xdr:cNvPr id="4" name="Equa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153650" y="733425"/>
          <a:ext cx="247650" cy="24765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200025</xdr:colOff>
      <xdr:row>5</xdr:row>
      <xdr:rowOff>9525</xdr:rowOff>
    </xdr:from>
    <xdr:to>
      <xdr:col>14</xdr:col>
      <xdr:colOff>400050</xdr:colOff>
      <xdr:row>6</xdr:row>
      <xdr:rowOff>38100</xdr:rowOff>
    </xdr:to>
    <xdr:sp macro="" textlink="">
      <xdr:nvSpPr>
        <xdr:cNvPr id="5" name="Plu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8943975" y="971550"/>
          <a:ext cx="200025" cy="219075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190500</xdr:colOff>
      <xdr:row>4</xdr:row>
      <xdr:rowOff>190500</xdr:rowOff>
    </xdr:from>
    <xdr:to>
      <xdr:col>16</xdr:col>
      <xdr:colOff>438150</xdr:colOff>
      <xdr:row>6</xdr:row>
      <xdr:rowOff>47625</xdr:rowOff>
    </xdr:to>
    <xdr:sp macro="" textlink="">
      <xdr:nvSpPr>
        <xdr:cNvPr id="6" name="Equa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153650" y="952500"/>
          <a:ext cx="247650" cy="24765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190500</xdr:colOff>
      <xdr:row>6</xdr:row>
      <xdr:rowOff>19050</xdr:rowOff>
    </xdr:from>
    <xdr:to>
      <xdr:col>14</xdr:col>
      <xdr:colOff>390525</xdr:colOff>
      <xdr:row>7</xdr:row>
      <xdr:rowOff>47625</xdr:rowOff>
    </xdr:to>
    <xdr:sp macro="" textlink="">
      <xdr:nvSpPr>
        <xdr:cNvPr id="7" name="Plu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934450" y="1171575"/>
          <a:ext cx="200025" cy="219075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200025</xdr:colOff>
      <xdr:row>6</xdr:row>
      <xdr:rowOff>0</xdr:rowOff>
    </xdr:from>
    <xdr:to>
      <xdr:col>16</xdr:col>
      <xdr:colOff>447675</xdr:colOff>
      <xdr:row>7</xdr:row>
      <xdr:rowOff>57150</xdr:rowOff>
    </xdr:to>
    <xdr:sp macro="" textlink="">
      <xdr:nvSpPr>
        <xdr:cNvPr id="8" name="Equa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0163175" y="1152525"/>
          <a:ext cx="247650" cy="24765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190500</xdr:colOff>
      <xdr:row>7</xdr:row>
      <xdr:rowOff>171450</xdr:rowOff>
    </xdr:from>
    <xdr:to>
      <xdr:col>16</xdr:col>
      <xdr:colOff>438150</xdr:colOff>
      <xdr:row>9</xdr:row>
      <xdr:rowOff>38100</xdr:rowOff>
    </xdr:to>
    <xdr:sp macro="" textlink="">
      <xdr:nvSpPr>
        <xdr:cNvPr id="9" name="Equa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0153650" y="1514475"/>
          <a:ext cx="247650" cy="24765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180975</xdr:colOff>
      <xdr:row>9</xdr:row>
      <xdr:rowOff>180975</xdr:rowOff>
    </xdr:from>
    <xdr:to>
      <xdr:col>16</xdr:col>
      <xdr:colOff>428625</xdr:colOff>
      <xdr:row>11</xdr:row>
      <xdr:rowOff>47625</xdr:rowOff>
    </xdr:to>
    <xdr:sp macro="" textlink="">
      <xdr:nvSpPr>
        <xdr:cNvPr id="10" name="Equal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0144125" y="1905000"/>
          <a:ext cx="247650" cy="24765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304800</xdr:colOff>
      <xdr:row>11</xdr:row>
      <xdr:rowOff>0</xdr:rowOff>
    </xdr:from>
    <xdr:to>
      <xdr:col>14</xdr:col>
      <xdr:colOff>123825</xdr:colOff>
      <xdr:row>12</xdr:row>
      <xdr:rowOff>161925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 flipH="1">
          <a:off x="8439150" y="2105025"/>
          <a:ext cx="428625" cy="3524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32</xdr:row>
      <xdr:rowOff>257175</xdr:rowOff>
    </xdr:from>
    <xdr:to>
      <xdr:col>8</xdr:col>
      <xdr:colOff>752475</xdr:colOff>
      <xdr:row>32</xdr:row>
      <xdr:rowOff>466725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238750" y="6734175"/>
          <a:ext cx="390525" cy="209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111656</xdr:colOff>
      <xdr:row>32</xdr:row>
      <xdr:rowOff>324436</xdr:rowOff>
    </xdr:from>
    <xdr:to>
      <xdr:col>11</xdr:col>
      <xdr:colOff>425981</xdr:colOff>
      <xdr:row>32</xdr:row>
      <xdr:rowOff>401376</xdr:rowOff>
    </xdr:to>
    <xdr:sp macro="" textlink="">
      <xdr:nvSpPr>
        <xdr:cNvPr id="15" name="Equal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1569779" flipV="1">
          <a:off x="6969656" y="6801436"/>
          <a:ext cx="314325" cy="7694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466725</xdr:colOff>
      <xdr:row>35</xdr:row>
      <xdr:rowOff>342899</xdr:rowOff>
    </xdr:from>
    <xdr:to>
      <xdr:col>8</xdr:col>
      <xdr:colOff>933450</xdr:colOff>
      <xdr:row>35</xdr:row>
      <xdr:rowOff>542924</xdr:rowOff>
    </xdr:to>
    <xdr:sp macro="" textlink="">
      <xdr:nvSpPr>
        <xdr:cNvPr id="16" name="Right Arrow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343525" y="7715249"/>
          <a:ext cx="466725" cy="2000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111656</xdr:colOff>
      <xdr:row>32</xdr:row>
      <xdr:rowOff>324436</xdr:rowOff>
    </xdr:from>
    <xdr:to>
      <xdr:col>11</xdr:col>
      <xdr:colOff>425981</xdr:colOff>
      <xdr:row>32</xdr:row>
      <xdr:rowOff>401376</xdr:rowOff>
    </xdr:to>
    <xdr:sp macro="" textlink="">
      <xdr:nvSpPr>
        <xdr:cNvPr id="17" name="Equal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1569779" flipV="1">
          <a:off x="7188731" y="6801436"/>
          <a:ext cx="314325" cy="7694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178332</xdr:colOff>
      <xdr:row>37</xdr:row>
      <xdr:rowOff>419686</xdr:rowOff>
    </xdr:from>
    <xdr:to>
      <xdr:col>11</xdr:col>
      <xdr:colOff>492657</xdr:colOff>
      <xdr:row>37</xdr:row>
      <xdr:rowOff>496626</xdr:rowOff>
    </xdr:to>
    <xdr:sp macro="" textlink="">
      <xdr:nvSpPr>
        <xdr:cNvPr id="19" name="Equal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 rot="9408719" flipV="1">
          <a:off x="7255407" y="8573086"/>
          <a:ext cx="314325" cy="76940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1014841</xdr:colOff>
      <xdr:row>19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667" t="14194" r="16023" b="11968"/>
        <a:stretch/>
      </xdr:blipFill>
      <xdr:spPr>
        <a:xfrm>
          <a:off x="0" y="0"/>
          <a:ext cx="5767816" cy="4076700"/>
        </a:xfrm>
        <a:prstGeom prst="rect">
          <a:avLst/>
        </a:prstGeom>
      </xdr:spPr>
    </xdr:pic>
    <xdr:clientData/>
  </xdr:twoCellAnchor>
  <xdr:oneCellAnchor>
    <xdr:from>
      <xdr:col>10</xdr:col>
      <xdr:colOff>473900</xdr:colOff>
      <xdr:row>2</xdr:row>
      <xdr:rowOff>170463</xdr:rowOff>
    </xdr:from>
    <xdr:ext cx="1964500" cy="6391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SpPr txBox="1"/>
          </xdr:nvSpPr>
          <xdr:spPr>
            <a:xfrm>
              <a:off x="6569900" y="618138"/>
              <a:ext cx="1964500" cy="639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14:m>
                <m:oMath xmlns:m="http://schemas.openxmlformats.org/officeDocument/2006/math">
                  <m:r>
                    <a:rPr lang="en-US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𝐾</m:t>
                  </m:r>
                  <m:r>
                    <a:rPr lang="en-US" sz="1400" b="0" i="1" baseline="-2500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𝑒</m:t>
                  </m:r>
                  <m:r>
                    <a:rPr lang="en-US" sz="20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 panose="02040503050406030204" pitchFamily="18" charset="0"/>
                        </a:rPr>
                        <m:t>𝑑𝑜</m:t>
                      </m:r>
                      <m:d>
                        <m:dPr>
                          <m:ctrlPr>
                            <a:rPr lang="en-US" sz="20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US" sz="2000" b="0" i="1">
                              <a:latin typeface="Cambria Math" panose="02040503050406030204" pitchFamily="18" charset="0"/>
                            </a:rPr>
                            <m:t>1+</m:t>
                          </m:r>
                          <m:r>
                            <a:rPr lang="en-US" sz="2000" b="0" i="1">
                              <a:latin typeface="Cambria Math" panose="02040503050406030204" pitchFamily="18" charset="0"/>
                            </a:rPr>
                            <m:t>𝑔</m:t>
                          </m:r>
                        </m:e>
                      </m:d>
                    </m:num>
                    <m:den>
                      <m:r>
                        <a:rPr lang="en-US" sz="2000" b="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14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P</m:t>
                      </m:r>
                      <m:r>
                        <m:rPr>
                          <m:nor/>
                        </m:rPr>
                        <a:rPr lang="en-US" sz="1400" baseline="-250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o</m:t>
                      </m:r>
                    </m:den>
                  </m:f>
                  <m:r>
                    <a:rPr lang="en-US" sz="2000" i="1">
                      <a:latin typeface="Cambria Math" panose="02040503050406030204" pitchFamily="18" charset="0"/>
                    </a:rPr>
                    <m:t>+</m:t>
                  </m:r>
                  <m:r>
                    <a:rPr lang="en-US" sz="2000" b="0" i="1">
                      <a:latin typeface="Cambria Math" panose="02040503050406030204" pitchFamily="18" charset="0"/>
                    </a:rPr>
                    <m:t>𝑔</m:t>
                  </m:r>
                </m:oMath>
              </a14:m>
              <a:endParaRPr lang="en-US" sz="20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6569900" y="618138"/>
              <a:ext cx="1964500" cy="639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US" sz="1400" b="0" i="0" baseline="-25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𝑒</a:t>
              </a:r>
              <a:r>
                <a:rPr lang="en-US" sz="2000" i="0">
                  <a:latin typeface="Cambria Math" panose="02040503050406030204" pitchFamily="18" charset="0"/>
                </a:rPr>
                <a:t>=</a:t>
              </a:r>
              <a:r>
                <a:rPr lang="en-US" sz="2000" b="0" i="0">
                  <a:latin typeface="Cambria Math" panose="02040503050406030204" pitchFamily="18" charset="0"/>
                </a:rPr>
                <a:t>𝑑𝑜(1+𝑔)/( </a:t>
              </a:r>
              <a:r>
                <a:rPr lang="en-US" sz="1400" b="0" i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r>
                <a:rPr lang="en-US" sz="1400" i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</a:t>
              </a:r>
              <a:r>
                <a:rPr lang="en-US" sz="1400" i="0" baseline="-25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</a:t>
              </a:r>
              <a:r>
                <a:rPr lang="en-US" sz="200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)</a:t>
              </a:r>
              <a:r>
                <a:rPr lang="en-US" sz="2000" i="0">
                  <a:latin typeface="Cambria Math" panose="02040503050406030204" pitchFamily="18" charset="0"/>
                </a:rPr>
                <a:t>+</a:t>
              </a:r>
              <a:r>
                <a:rPr lang="en-US" sz="2000" b="0" i="0">
                  <a:latin typeface="Cambria Math" panose="02040503050406030204" pitchFamily="18" charset="0"/>
                </a:rPr>
                <a:t>𝑔</a:t>
              </a:r>
              <a:endParaRPr lang="en-US" sz="2000"/>
            </a:p>
          </xdr:txBody>
        </xdr:sp>
      </mc:Fallback>
    </mc:AlternateContent>
    <xdr:clientData/>
  </xdr:oneCellAnchor>
  <xdr:oneCellAnchor>
    <xdr:from>
      <xdr:col>10</xdr:col>
      <xdr:colOff>483425</xdr:colOff>
      <xdr:row>10</xdr:row>
      <xdr:rowOff>179988</xdr:rowOff>
    </xdr:from>
    <xdr:ext cx="1964500" cy="4581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SpPr txBox="1"/>
          </xdr:nvSpPr>
          <xdr:spPr>
            <a:xfrm>
              <a:off x="6579425" y="2265963"/>
              <a:ext cx="1964500" cy="4581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14:m>
                <m:oMath xmlns:m="http://schemas.openxmlformats.org/officeDocument/2006/math">
                  <m:r>
                    <a:rPr lang="en-US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𝐾</m:t>
                  </m:r>
                  <m:r>
                    <a:rPr lang="en-US" sz="1400" b="0" i="1" baseline="-2500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𝑑</m:t>
                  </m:r>
                  <m:r>
                    <a:rPr lang="en-US" sz="20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 panose="02040503050406030204" pitchFamily="18" charset="0"/>
                        </a:rPr>
                        <m:t>𝑖</m:t>
                      </m:r>
                      <m:d>
                        <m:dPr>
                          <m:ctrlPr>
                            <a:rPr lang="en-US" sz="20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US" sz="2000" b="0" i="1">
                              <a:latin typeface="Cambria Math" panose="02040503050406030204" pitchFamily="18" charset="0"/>
                            </a:rPr>
                            <m:t>1−</m:t>
                          </m:r>
                          <m:r>
                            <a:rPr lang="en-US" sz="2000" b="0" i="1">
                              <a:latin typeface="Cambria Math" panose="02040503050406030204" pitchFamily="18" charset="0"/>
                            </a:rPr>
                            <m:t>𝑡</m:t>
                          </m:r>
                        </m:e>
                      </m:d>
                    </m:num>
                    <m:den>
                      <m:r>
                        <a:rPr lang="en-US" sz="2000" b="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14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P</m:t>
                      </m:r>
                      <m:r>
                        <m:rPr>
                          <m:nor/>
                        </m:rPr>
                        <a:rPr lang="en-US" sz="1400" baseline="-250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o</m:t>
                      </m:r>
                    </m:den>
                  </m:f>
                </m:oMath>
              </a14:m>
              <a:endParaRPr lang="en-US" sz="20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6579425" y="2265963"/>
              <a:ext cx="1964500" cy="4581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US" sz="14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</a:t>
              </a:r>
              <a:r>
                <a:rPr lang="en-US" sz="2000" i="0">
                  <a:latin typeface="Cambria Math" panose="02040503050406030204" pitchFamily="18" charset="0"/>
                </a:rPr>
                <a:t>=</a:t>
              </a:r>
              <a:r>
                <a:rPr lang="en-US" sz="2000" b="0" i="0">
                  <a:latin typeface="Cambria Math" panose="02040503050406030204" pitchFamily="18" charset="0"/>
                </a:rPr>
                <a:t>𝑖(1−𝑡)/( </a:t>
              </a:r>
              <a:r>
                <a:rPr lang="en-US" sz="1400" b="0" i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r>
                <a:rPr lang="en-US" sz="1400" i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</a:t>
              </a:r>
              <a:r>
                <a:rPr lang="en-US" sz="1400" i="0" baseline="-25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</a:t>
              </a:r>
              <a:r>
                <a:rPr lang="en-US" sz="200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)</a:t>
              </a:r>
              <a:endParaRPr lang="en-US" sz="2000"/>
            </a:p>
          </xdr:txBody>
        </xdr:sp>
      </mc:Fallback>
    </mc:AlternateContent>
    <xdr:clientData/>
  </xdr:oneCellAnchor>
  <xdr:oneCellAnchor>
    <xdr:from>
      <xdr:col>11</xdr:col>
      <xdr:colOff>64325</xdr:colOff>
      <xdr:row>19</xdr:row>
      <xdr:rowOff>84738</xdr:rowOff>
    </xdr:from>
    <xdr:ext cx="1288225" cy="5058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200-000005000000}"/>
                </a:ext>
              </a:extLst>
            </xdr:cNvPr>
            <xdr:cNvSpPr txBox="1"/>
          </xdr:nvSpPr>
          <xdr:spPr>
            <a:xfrm>
              <a:off x="6769925" y="3999513"/>
              <a:ext cx="1288225" cy="5058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14:m>
                <m:oMath xmlns:m="http://schemas.openxmlformats.org/officeDocument/2006/math">
                  <m:r>
                    <a:rPr lang="en-US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𝐾</m:t>
                  </m:r>
                  <m:r>
                    <a:rPr lang="en-US" sz="1400" b="0" i="1" baseline="-2500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𝑝</m:t>
                  </m:r>
                  <m:r>
                    <a:rPr lang="en-US" sz="20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 panose="02040503050406030204" pitchFamily="18" charset="0"/>
                        </a:rPr>
                        <m:t>𝑑</m:t>
                      </m:r>
                    </m:num>
                    <m:den>
                      <m:r>
                        <a:rPr lang="en-US" sz="2000" b="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14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P</m:t>
                      </m:r>
                      <m:r>
                        <m:rPr>
                          <m:nor/>
                        </m:rPr>
                        <a:rPr lang="en-US" sz="1400" baseline="-2500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o</m:t>
                      </m:r>
                    </m:den>
                  </m:f>
                </m:oMath>
              </a14:m>
              <a:endParaRPr lang="en-US" sz="2000"/>
            </a:p>
          </xdr:txBody>
        </xdr:sp>
      </mc:Choice>
      <mc:Fallback xmlns="">
        <xdr:sp macro="" textlink="">
          <xdr:nvSpPr>
            <xdr:cNvPr id="5" name="TextBox 4"/>
            <xdr:cNvSpPr txBox="1"/>
          </xdr:nvSpPr>
          <xdr:spPr>
            <a:xfrm>
              <a:off x="6769925" y="3999513"/>
              <a:ext cx="1288225" cy="5058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US" sz="14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en-US" sz="2000" i="0">
                  <a:latin typeface="Cambria Math" panose="02040503050406030204" pitchFamily="18" charset="0"/>
                </a:rPr>
                <a:t>=</a:t>
              </a:r>
              <a:r>
                <a:rPr lang="en-US" sz="2000" b="0" i="0">
                  <a:latin typeface="Cambria Math" panose="02040503050406030204" pitchFamily="18" charset="0"/>
                </a:rPr>
                <a:t>𝑑/( </a:t>
              </a:r>
              <a:r>
                <a:rPr lang="en-US" sz="1400" b="0" i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</a:t>
              </a:r>
              <a:r>
                <a:rPr lang="en-US" sz="1400" i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</a:t>
              </a:r>
              <a:r>
                <a:rPr lang="en-US" sz="1400" i="0" baseline="-25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</a:t>
              </a:r>
              <a:r>
                <a:rPr lang="en-US" sz="200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)</a:t>
              </a:r>
              <a:endParaRPr lang="en-US" sz="2000"/>
            </a:p>
          </xdr:txBody>
        </xdr:sp>
      </mc:Fallback>
    </mc:AlternateContent>
    <xdr:clientData/>
  </xdr:oneCellAnchor>
  <xdr:oneCellAnchor>
    <xdr:from>
      <xdr:col>10</xdr:col>
      <xdr:colOff>492949</xdr:colOff>
      <xdr:row>6</xdr:row>
      <xdr:rowOff>8538</xdr:rowOff>
    </xdr:from>
    <xdr:ext cx="2450275" cy="6391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 txBox="1"/>
          </xdr:nvSpPr>
          <xdr:spPr>
            <a:xfrm>
              <a:off x="6588949" y="1218213"/>
              <a:ext cx="2450275" cy="639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14:m>
                <m:oMath xmlns:m="http://schemas.openxmlformats.org/officeDocument/2006/math">
                  <m:r>
                    <a:rPr lang="en-US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𝐾</m:t>
                  </m:r>
                  <m:r>
                    <a:rPr lang="en-US" sz="1400" b="0" i="1" baseline="-2500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𝑒</m:t>
                  </m:r>
                  <m:r>
                    <a:rPr lang="en-US" sz="20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 panose="02040503050406030204" pitchFamily="18" charset="0"/>
                        </a:rPr>
                        <m:t>4.5</m:t>
                      </m:r>
                      <m:d>
                        <m:dPr>
                          <m:ctrlPr>
                            <a:rPr lang="en-US" sz="20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US" sz="2000" b="0" i="1">
                              <a:latin typeface="Cambria Math" panose="02040503050406030204" pitchFamily="18" charset="0"/>
                            </a:rPr>
                            <m:t>1+0.04</m:t>
                          </m:r>
                        </m:e>
                      </m:d>
                    </m:num>
                    <m:den>
                      <m:r>
                        <a:rPr lang="en-US" sz="2000" b="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2000" b="0" i="0">
                          <a:latin typeface="Cambria Math" panose="02040503050406030204" pitchFamily="18" charset="0"/>
                        </a:rPr>
                        <m:t>25</m:t>
                      </m:r>
                    </m:den>
                  </m:f>
                  <m:r>
                    <a:rPr lang="en-US" sz="2000" i="1">
                      <a:latin typeface="Cambria Math" panose="02040503050406030204" pitchFamily="18" charset="0"/>
                    </a:rPr>
                    <m:t>+</m:t>
                  </m:r>
                  <m:r>
                    <a:rPr lang="en-US" sz="2000" b="0" i="1">
                      <a:latin typeface="Cambria Math" panose="02040503050406030204" pitchFamily="18" charset="0"/>
                    </a:rPr>
                    <m:t>0.04</m:t>
                  </m:r>
                </m:oMath>
              </a14:m>
              <a:endParaRPr lang="en-US" sz="2000"/>
            </a:p>
          </xdr:txBody>
        </xdr:sp>
      </mc:Choice>
      <mc:Fallback xmlns="">
        <xdr:sp macro="" textlink="">
          <xdr:nvSpPr>
            <xdr:cNvPr id="6" name="TextBox 5"/>
            <xdr:cNvSpPr txBox="1"/>
          </xdr:nvSpPr>
          <xdr:spPr>
            <a:xfrm>
              <a:off x="6588949" y="1218213"/>
              <a:ext cx="2450275" cy="639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US" sz="1400" b="0" i="0" baseline="-25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𝑒</a:t>
              </a:r>
              <a:r>
                <a:rPr lang="en-US" sz="2000" i="0">
                  <a:latin typeface="Cambria Math" panose="02040503050406030204" pitchFamily="18" charset="0"/>
                </a:rPr>
                <a:t>=</a:t>
              </a:r>
              <a:r>
                <a:rPr lang="en-US" sz="2000" b="0" i="0">
                  <a:latin typeface="Cambria Math" panose="02040503050406030204" pitchFamily="18" charset="0"/>
                </a:rPr>
                <a:t>4.5(1+0.04)/( "25" )</a:t>
              </a:r>
              <a:r>
                <a:rPr lang="en-US" sz="2000" i="0">
                  <a:latin typeface="Cambria Math" panose="02040503050406030204" pitchFamily="18" charset="0"/>
                </a:rPr>
                <a:t>+</a:t>
              </a:r>
              <a:r>
                <a:rPr lang="en-US" sz="2000" b="0" i="0">
                  <a:latin typeface="Cambria Math" panose="02040503050406030204" pitchFamily="18" charset="0"/>
                </a:rPr>
                <a:t>0.04</a:t>
              </a:r>
              <a:endParaRPr lang="en-US" sz="2000"/>
            </a:p>
          </xdr:txBody>
        </xdr:sp>
      </mc:Fallback>
    </mc:AlternateContent>
    <xdr:clientData/>
  </xdr:oneCellAnchor>
  <xdr:twoCellAnchor>
    <xdr:from>
      <xdr:col>15</xdr:col>
      <xdr:colOff>47625</xdr:colOff>
      <xdr:row>6</xdr:row>
      <xdr:rowOff>123825</xdr:rowOff>
    </xdr:from>
    <xdr:to>
      <xdr:col>16</xdr:col>
      <xdr:colOff>19050</xdr:colOff>
      <xdr:row>8</xdr:row>
      <xdr:rowOff>76200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191625" y="1333500"/>
          <a:ext cx="581025" cy="3333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10</xdr:col>
      <xdr:colOff>445325</xdr:colOff>
      <xdr:row>13</xdr:row>
      <xdr:rowOff>170463</xdr:rowOff>
    </xdr:from>
    <xdr:ext cx="1964500" cy="4581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 txBox="1"/>
          </xdr:nvSpPr>
          <xdr:spPr>
            <a:xfrm>
              <a:off x="6541325" y="2827938"/>
              <a:ext cx="1964500" cy="4581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14:m>
                <m:oMath xmlns:m="http://schemas.openxmlformats.org/officeDocument/2006/math">
                  <m:r>
                    <a:rPr lang="en-US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𝐾</m:t>
                  </m:r>
                  <m:r>
                    <a:rPr lang="en-US" sz="1400" b="0" i="1" baseline="-2500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𝑑</m:t>
                  </m:r>
                  <m:r>
                    <a:rPr lang="en-US" sz="20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 panose="02040503050406030204" pitchFamily="18" charset="0"/>
                        </a:rPr>
                        <m:t>12</m:t>
                      </m:r>
                      <m:d>
                        <m:dPr>
                          <m:ctrlPr>
                            <a:rPr lang="en-US" sz="20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n-US" sz="2000" b="0" i="1">
                              <a:latin typeface="Cambria Math" panose="02040503050406030204" pitchFamily="18" charset="0"/>
                            </a:rPr>
                            <m:t>1−0.3</m:t>
                          </m:r>
                        </m:e>
                      </m:d>
                    </m:num>
                    <m:den>
                      <m:r>
                        <a:rPr lang="en-US" sz="2000" b="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1400" b="0" i="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+mn-ea"/>
                          <a:cs typeface="+mn-cs"/>
                        </a:rPr>
                        <m:t>100</m:t>
                      </m:r>
                    </m:den>
                  </m:f>
                </m:oMath>
              </a14:m>
              <a:endParaRPr lang="en-US" sz="2000"/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6541325" y="2827938"/>
              <a:ext cx="1964500" cy="4581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US" sz="14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𝑑</a:t>
              </a:r>
              <a:r>
                <a:rPr lang="en-US" sz="2000" i="0">
                  <a:latin typeface="Cambria Math" panose="02040503050406030204" pitchFamily="18" charset="0"/>
                </a:rPr>
                <a:t>=</a:t>
              </a:r>
              <a:r>
                <a:rPr lang="en-US" sz="2000" b="0" i="0">
                  <a:latin typeface="Cambria Math" panose="02040503050406030204" pitchFamily="18" charset="0"/>
                </a:rPr>
                <a:t>12(1−0.3)/( </a:t>
              </a:r>
              <a:r>
                <a:rPr lang="en-US" sz="1400" b="0" i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"100</a:t>
              </a:r>
              <a:r>
                <a:rPr lang="en-US" sz="2000" b="0" i="0" baseline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)</a:t>
              </a:r>
              <a:endParaRPr lang="en-US" sz="2000"/>
            </a:p>
          </xdr:txBody>
        </xdr:sp>
      </mc:Fallback>
    </mc:AlternateContent>
    <xdr:clientData/>
  </xdr:oneCellAnchor>
  <xdr:twoCellAnchor>
    <xdr:from>
      <xdr:col>14</xdr:col>
      <xdr:colOff>85725</xdr:colOff>
      <xdr:row>13</xdr:row>
      <xdr:rowOff>95250</xdr:rowOff>
    </xdr:from>
    <xdr:to>
      <xdr:col>15</xdr:col>
      <xdr:colOff>57150</xdr:colOff>
      <xdr:row>15</xdr:row>
      <xdr:rowOff>95250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620125" y="2752725"/>
          <a:ext cx="581025" cy="381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64325</xdr:colOff>
      <xdr:row>22</xdr:row>
      <xdr:rowOff>84738</xdr:rowOff>
    </xdr:from>
    <xdr:ext cx="1288225" cy="5058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SpPr txBox="1"/>
          </xdr:nvSpPr>
          <xdr:spPr>
            <a:xfrm>
              <a:off x="6769925" y="4571013"/>
              <a:ext cx="1288225" cy="5058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14:m>
                <m:oMath xmlns:m="http://schemas.openxmlformats.org/officeDocument/2006/math">
                  <m:r>
                    <a:rPr lang="en-US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𝐾</m:t>
                  </m:r>
                  <m:r>
                    <a:rPr lang="en-US" sz="1400" b="0" i="1" baseline="-2500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𝑝</m:t>
                  </m:r>
                  <m:r>
                    <a:rPr lang="en-US" sz="200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 panose="02040503050406030204" pitchFamily="18" charset="0"/>
                        </a:rPr>
                        <m:t>1.4</m:t>
                      </m:r>
                    </m:num>
                    <m:den>
                      <m:r>
                        <a:rPr lang="en-US" sz="2000" b="0" i="1">
                          <a:latin typeface="Cambria Math" panose="02040503050406030204" pitchFamily="18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en-US" sz="2000" b="0" i="0">
                          <a:latin typeface="Cambria Math" panose="02040503050406030204" pitchFamily="18" charset="0"/>
                        </a:rPr>
                        <m:t>20</m:t>
                      </m:r>
                    </m:den>
                  </m:f>
                </m:oMath>
              </a14:m>
              <a:endParaRPr lang="en-US" sz="2000"/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6769925" y="4571013"/>
              <a:ext cx="1288225" cy="5058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1600" baseline="0"/>
                <a:t> </a:t>
              </a:r>
              <a:r>
                <a:rPr lang="en-US" sz="1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𝐾</a:t>
              </a:r>
              <a:r>
                <a:rPr lang="en-US" sz="14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en-US" sz="2000" i="0">
                  <a:latin typeface="Cambria Math" panose="02040503050406030204" pitchFamily="18" charset="0"/>
                </a:rPr>
                <a:t>=</a:t>
              </a:r>
              <a:r>
                <a:rPr lang="en-US" sz="2000" b="0" i="0">
                  <a:latin typeface="Cambria Math" panose="02040503050406030204" pitchFamily="18" charset="0"/>
                </a:rPr>
                <a:t>1.4/( "20" )</a:t>
              </a:r>
              <a:endParaRPr lang="en-US" sz="2000"/>
            </a:p>
          </xdr:txBody>
        </xdr:sp>
      </mc:Fallback>
    </mc:AlternateContent>
    <xdr:clientData/>
  </xdr:oneCellAnchor>
  <xdr:twoCellAnchor>
    <xdr:from>
      <xdr:col>14</xdr:col>
      <xdr:colOff>76200</xdr:colOff>
      <xdr:row>22</xdr:row>
      <xdr:rowOff>190499</xdr:rowOff>
    </xdr:from>
    <xdr:to>
      <xdr:col>14</xdr:col>
      <xdr:colOff>542925</xdr:colOff>
      <xdr:row>24</xdr:row>
      <xdr:rowOff>57149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8610600" y="4676774"/>
          <a:ext cx="466725" cy="2952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469830</xdr:colOff>
      <xdr:row>18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55" t="25133" r="12874" b="16917"/>
        <a:stretch/>
      </xdr:blipFill>
      <xdr:spPr>
        <a:xfrm>
          <a:off x="0" y="0"/>
          <a:ext cx="7785030" cy="3524251"/>
        </a:xfrm>
        <a:prstGeom prst="rect">
          <a:avLst/>
        </a:prstGeom>
      </xdr:spPr>
    </xdr:pic>
    <xdr:clientData/>
  </xdr:twoCellAnchor>
  <xdr:oneCellAnchor>
    <xdr:from>
      <xdr:col>0</xdr:col>
      <xdr:colOff>333374</xdr:colOff>
      <xdr:row>21</xdr:row>
      <xdr:rowOff>152400</xdr:rowOff>
    </xdr:from>
    <xdr:ext cx="4791076" cy="63916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SpPr txBox="1"/>
          </xdr:nvSpPr>
          <xdr:spPr>
            <a:xfrm>
              <a:off x="333374" y="4152900"/>
              <a:ext cx="4791076" cy="639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en-US" sz="2000" b="0" i="0">
                        <a:latin typeface="Cambria Math" panose="02040503050406030204" pitchFamily="18" charset="0"/>
                      </a:rPr>
                      <m:t>DCP</m:t>
                    </m:r>
                    <m:r>
                      <a:rPr lang="en-US" sz="20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20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𝐴𝑣𝑔</m:t>
                        </m:r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𝑇𝑟𝑎𝑑𝑒</m:t>
                        </m:r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𝑅𝑒𝑐𝑒𝑖𝑣𝑎𝑏𝑙𝑒𝑠</m:t>
                        </m:r>
                      </m:num>
                      <m:den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US" sz="2000" b="0" i="0">
                            <a:latin typeface="Cambria Math" panose="02040503050406030204" pitchFamily="18" charset="0"/>
                          </a:rPr>
                          <m:t>Credit</m:t>
                        </m:r>
                        <m:r>
                          <m:rPr>
                            <m:nor/>
                          </m:rPr>
                          <a:rPr lang="en-US" sz="20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US" sz="2000" b="0" i="0">
                            <a:latin typeface="Cambria Math" panose="02040503050406030204" pitchFamily="18" charset="0"/>
                          </a:rPr>
                          <m:t>Sales</m:t>
                        </m:r>
                      </m:den>
                    </m:f>
                    <m:r>
                      <a:rPr lang="en-US" sz="2000" b="0" i="1">
                        <a:latin typeface="Cambria Math" panose="02040503050406030204" pitchFamily="18" charset="0"/>
                      </a:rPr>
                      <m:t>∗365 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𝐷</m:t>
                    </m:r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333374" y="4152900"/>
              <a:ext cx="4791076" cy="63916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2000" b="0" i="0">
                  <a:latin typeface="Cambria Math" panose="02040503050406030204" pitchFamily="18" charset="0"/>
                </a:rPr>
                <a:t>DCP</a:t>
              </a:r>
              <a:r>
                <a:rPr lang="en-US" sz="2000" i="0">
                  <a:latin typeface="Cambria Math" panose="02040503050406030204" pitchFamily="18" charset="0"/>
                </a:rPr>
                <a:t>=(</a:t>
              </a:r>
              <a:r>
                <a:rPr lang="en-US" sz="2000" b="0" i="0">
                  <a:latin typeface="Cambria Math" panose="02040503050406030204" pitchFamily="18" charset="0"/>
                </a:rPr>
                <a:t>𝐴𝑣𝑔 𝑇𝑟𝑎𝑑𝑒 𝑅𝑒𝑐𝑒𝑖𝑣𝑎𝑏𝑙𝑒𝑠)/( "Credit Sales" )∗365 𝐷</a:t>
              </a:r>
              <a:endParaRPr lang="en-US" sz="2000"/>
            </a:p>
          </xdr:txBody>
        </xdr:sp>
      </mc:Fallback>
    </mc:AlternateContent>
    <xdr:clientData/>
  </xdr:oneCellAnchor>
  <xdr:twoCellAnchor>
    <xdr:from>
      <xdr:col>13</xdr:col>
      <xdr:colOff>628650</xdr:colOff>
      <xdr:row>5</xdr:row>
      <xdr:rowOff>133350</xdr:rowOff>
    </xdr:from>
    <xdr:to>
      <xdr:col>14</xdr:col>
      <xdr:colOff>190500</xdr:colOff>
      <xdr:row>10</xdr:row>
      <xdr:rowOff>19050</xdr:rowOff>
    </xdr:to>
    <xdr:sp macro="" textlink="">
      <xdr:nvSpPr>
        <xdr:cNvPr id="5" name="Curved Right Arrow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8553450" y="1085850"/>
          <a:ext cx="447675" cy="89535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95250</xdr:colOff>
      <xdr:row>5</xdr:row>
      <xdr:rowOff>38099</xdr:rowOff>
    </xdr:from>
    <xdr:to>
      <xdr:col>16</xdr:col>
      <xdr:colOff>457200</xdr:colOff>
      <xdr:row>9</xdr:row>
      <xdr:rowOff>104774</xdr:rowOff>
    </xdr:to>
    <xdr:sp macro="" textlink="">
      <xdr:nvSpPr>
        <xdr:cNvPr id="6" name="Curved Right Arrow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267950" y="990599"/>
          <a:ext cx="361950" cy="866775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114300</xdr:colOff>
      <xdr:row>4</xdr:row>
      <xdr:rowOff>171450</xdr:rowOff>
    </xdr:from>
    <xdr:to>
      <xdr:col>18</xdr:col>
      <xdr:colOff>476250</xdr:colOff>
      <xdr:row>9</xdr:row>
      <xdr:rowOff>76200</xdr:rowOff>
    </xdr:to>
    <xdr:sp macro="" textlink="">
      <xdr:nvSpPr>
        <xdr:cNvPr id="7" name="Curved 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1506200" y="933450"/>
          <a:ext cx="361950" cy="895350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oneCellAnchor>
    <xdr:from>
      <xdr:col>7</xdr:col>
      <xdr:colOff>380999</xdr:colOff>
      <xdr:row>21</xdr:row>
      <xdr:rowOff>171450</xdr:rowOff>
    </xdr:from>
    <xdr:ext cx="3762376" cy="952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4648199" y="4267200"/>
              <a:ext cx="3762376" cy="952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20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20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[</m:t>
                        </m:r>
                        <m:f>
                          <m:fPr>
                            <m:ctrlPr>
                              <a:rPr lang="en-US" sz="20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US" sz="2000" b="0" i="1">
                                <a:latin typeface="Cambria Math" panose="02040503050406030204" pitchFamily="18" charset="0"/>
                              </a:rPr>
                              <m:t>2,918+3,795</m:t>
                            </m:r>
                          </m:num>
                          <m:den>
                            <m:r>
                              <a:rPr lang="en-US" sz="20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]</m:t>
                        </m:r>
                      </m:num>
                      <m:den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US" sz="2000" b="0" i="0">
                            <a:latin typeface="Cambria Math" panose="02040503050406030204" pitchFamily="18" charset="0"/>
                          </a:rPr>
                          <m:t>20,000</m:t>
                        </m:r>
                      </m:den>
                    </m:f>
                    <m:r>
                      <a:rPr lang="en-US" sz="2000" b="0" i="1">
                        <a:latin typeface="Cambria Math" panose="02040503050406030204" pitchFamily="18" charset="0"/>
                      </a:rPr>
                      <m:t>∗365 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𝐷</m:t>
                    </m:r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4648199" y="4267200"/>
              <a:ext cx="3762376" cy="952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2000" i="0">
                  <a:latin typeface="Cambria Math" panose="02040503050406030204" pitchFamily="18" charset="0"/>
                </a:rPr>
                <a:t>=(</a:t>
              </a:r>
              <a:r>
                <a:rPr lang="en-US" sz="2000" b="0" i="0">
                  <a:latin typeface="Cambria Math" panose="02040503050406030204" pitchFamily="18" charset="0"/>
                </a:rPr>
                <a:t>[(2,918+3,795)/2])/( "20,000" )∗365 𝐷</a:t>
              </a:r>
              <a:endParaRPr lang="en-US" sz="2000"/>
            </a:p>
          </xdr:txBody>
        </xdr:sp>
      </mc:Fallback>
    </mc:AlternateContent>
    <xdr:clientData/>
  </xdr:oneCellAnchor>
  <xdr:oneCellAnchor>
    <xdr:from>
      <xdr:col>13</xdr:col>
      <xdr:colOff>123824</xdr:colOff>
      <xdr:row>22</xdr:row>
      <xdr:rowOff>9525</xdr:rowOff>
    </xdr:from>
    <xdr:ext cx="3762376" cy="9525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8048624" y="4295775"/>
              <a:ext cx="3762376" cy="952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20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20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[</m:t>
                        </m:r>
                        <m:f>
                          <m:fPr>
                            <m:ctrlPr>
                              <a:rPr lang="en-US" sz="20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US" sz="2000" b="0" i="1">
                                <a:latin typeface="Cambria Math" panose="02040503050406030204" pitchFamily="18" charset="0"/>
                              </a:rPr>
                              <m:t>3,795+4,907.2</m:t>
                            </m:r>
                          </m:num>
                          <m:den>
                            <m:r>
                              <a:rPr lang="en-US" sz="20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]</m:t>
                        </m:r>
                      </m:num>
                      <m:den>
                        <m:r>
                          <a:rPr lang="en-US" sz="20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US" sz="2000" b="0" i="0">
                            <a:latin typeface="Cambria Math" panose="02040503050406030204" pitchFamily="18" charset="0"/>
                          </a:rPr>
                          <m:t>24,000</m:t>
                        </m:r>
                      </m:den>
                    </m:f>
                    <m:r>
                      <a:rPr lang="en-US" sz="2000" b="0" i="1">
                        <a:latin typeface="Cambria Math" panose="02040503050406030204" pitchFamily="18" charset="0"/>
                      </a:rPr>
                      <m:t>∗365 </m:t>
                    </m:r>
                    <m:r>
                      <a:rPr lang="en-US" sz="2000" b="0" i="1">
                        <a:latin typeface="Cambria Math" panose="02040503050406030204" pitchFamily="18" charset="0"/>
                      </a:rPr>
                      <m:t>𝐷</m:t>
                    </m:r>
                  </m:oMath>
                </m:oMathPara>
              </a14:m>
              <a:endParaRPr lang="en-US" sz="2000"/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8048624" y="4295775"/>
              <a:ext cx="3762376" cy="9525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n-US" sz="2000" i="0">
                  <a:latin typeface="Cambria Math" panose="02040503050406030204" pitchFamily="18" charset="0"/>
                </a:rPr>
                <a:t>=(</a:t>
              </a:r>
              <a:r>
                <a:rPr lang="en-US" sz="2000" b="0" i="0">
                  <a:latin typeface="Cambria Math" panose="02040503050406030204" pitchFamily="18" charset="0"/>
                </a:rPr>
                <a:t>[(3,795+4,907.2)/2])/( "24,000" )∗365 𝐷</a:t>
              </a:r>
              <a:endParaRPr lang="en-US" sz="2000"/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435261</xdr:colOff>
      <xdr:row>14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961" t="26437" r="8700" b="16005"/>
        <a:stretch/>
      </xdr:blipFill>
      <xdr:spPr>
        <a:xfrm>
          <a:off x="0" y="0"/>
          <a:ext cx="6874161" cy="295275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20</xdr:row>
      <xdr:rowOff>28575</xdr:rowOff>
    </xdr:from>
    <xdr:to>
      <xdr:col>4</xdr:col>
      <xdr:colOff>361950</xdr:colOff>
      <xdr:row>22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 flipH="1">
          <a:off x="1485900" y="3657600"/>
          <a:ext cx="131445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333375</xdr:colOff>
      <xdr:row>20</xdr:row>
      <xdr:rowOff>28575</xdr:rowOff>
    </xdr:from>
    <xdr:to>
      <xdr:col>6</xdr:col>
      <xdr:colOff>447675</xdr:colOff>
      <xdr:row>22</xdr:row>
      <xdr:rowOff>161925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CxnSpPr/>
      </xdr:nvCxnSpPr>
      <xdr:spPr>
        <a:xfrm>
          <a:off x="2771775" y="3657600"/>
          <a:ext cx="133350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561975</xdr:colOff>
      <xdr:row>28</xdr:row>
      <xdr:rowOff>47625</xdr:rowOff>
    </xdr:from>
    <xdr:to>
      <xdr:col>6</xdr:col>
      <xdr:colOff>457201</xdr:colOff>
      <xdr:row>30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 flipH="1">
          <a:off x="3000375" y="5200650"/>
          <a:ext cx="1114426" cy="485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457201</xdr:colOff>
      <xdr:row>28</xdr:row>
      <xdr:rowOff>66675</xdr:rowOff>
    </xdr:from>
    <xdr:to>
      <xdr:col>8</xdr:col>
      <xdr:colOff>390525</xdr:colOff>
      <xdr:row>30</xdr:row>
      <xdr:rowOff>180975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>
          <a:off x="4114801" y="5219700"/>
          <a:ext cx="1152524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209550</xdr:colOff>
      <xdr:row>40</xdr:row>
      <xdr:rowOff>152399</xdr:rowOff>
    </xdr:from>
    <xdr:to>
      <xdr:col>22</xdr:col>
      <xdr:colOff>371475</xdr:colOff>
      <xdr:row>69</xdr:row>
      <xdr:rowOff>9525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404" t="12632" r="21147" b="10015"/>
        <a:stretch/>
      </xdr:blipFill>
      <xdr:spPr>
        <a:xfrm>
          <a:off x="8134350" y="7924799"/>
          <a:ext cx="7343775" cy="5657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6:L60"/>
  <sheetViews>
    <sheetView tabSelected="1" zoomScale="80" zoomScaleNormal="80" workbookViewId="0">
      <selection activeCell="F28" sqref="F28"/>
    </sheetView>
  </sheetViews>
  <sheetFormatPr defaultRowHeight="15" x14ac:dyDescent="0.25"/>
  <cols>
    <col min="7" max="7" width="10.5703125" bestFit="1" customWidth="1"/>
    <col min="12" max="12" width="12.28515625" customWidth="1"/>
  </cols>
  <sheetData>
    <row r="36" spans="2:9" ht="15.75" x14ac:dyDescent="0.25">
      <c r="B36" s="2" t="s">
        <v>0</v>
      </c>
    </row>
    <row r="37" spans="2:9" x14ac:dyDescent="0.25">
      <c r="G37" s="1" t="s">
        <v>4</v>
      </c>
    </row>
    <row r="38" spans="2:9" s="4" customFormat="1" x14ac:dyDescent="0.25">
      <c r="E38" s="4" t="s">
        <v>1</v>
      </c>
      <c r="G38" s="4" t="s">
        <v>2</v>
      </c>
      <c r="I38" s="4" t="s">
        <v>3</v>
      </c>
    </row>
    <row r="39" spans="2:9" x14ac:dyDescent="0.25">
      <c r="E39" s="9">
        <v>0</v>
      </c>
      <c r="G39" s="6">
        <v>-15000</v>
      </c>
      <c r="I39" s="7">
        <f>G39</f>
        <v>-15000</v>
      </c>
    </row>
    <row r="40" spans="2:9" x14ac:dyDescent="0.25">
      <c r="E40" s="9"/>
      <c r="G40" s="6"/>
    </row>
    <row r="41" spans="2:9" x14ac:dyDescent="0.25">
      <c r="E41" s="9">
        <v>1</v>
      </c>
      <c r="G41" s="6">
        <v>2450</v>
      </c>
      <c r="I41" s="8">
        <f>I39+G41</f>
        <v>-12550</v>
      </c>
    </row>
    <row r="42" spans="2:9" x14ac:dyDescent="0.25">
      <c r="E42" s="9"/>
      <c r="G42" s="6"/>
    </row>
    <row r="43" spans="2:9" x14ac:dyDescent="0.25">
      <c r="E43" s="9">
        <v>2</v>
      </c>
      <c r="G43" s="5">
        <v>2550</v>
      </c>
      <c r="I43" s="7">
        <f>I41+G43</f>
        <v>-10000</v>
      </c>
    </row>
    <row r="44" spans="2:9" x14ac:dyDescent="0.25">
      <c r="E44" s="9"/>
    </row>
    <row r="45" spans="2:9" x14ac:dyDescent="0.25">
      <c r="E45" s="9">
        <v>3</v>
      </c>
      <c r="G45">
        <v>4000</v>
      </c>
      <c r="I45" s="7">
        <f>I43+G45</f>
        <v>-6000</v>
      </c>
    </row>
    <row r="46" spans="2:9" x14ac:dyDescent="0.25">
      <c r="E46" s="9"/>
    </row>
    <row r="47" spans="2:9" x14ac:dyDescent="0.25">
      <c r="E47" s="9">
        <v>4</v>
      </c>
      <c r="G47">
        <v>4650</v>
      </c>
      <c r="I47" s="7">
        <f>I45+G47</f>
        <v>-1350</v>
      </c>
    </row>
    <row r="48" spans="2:9" x14ac:dyDescent="0.25">
      <c r="E48" s="3"/>
    </row>
    <row r="49" spans="5:12" x14ac:dyDescent="0.25">
      <c r="E49" s="10">
        <v>5</v>
      </c>
      <c r="F49" s="11"/>
      <c r="G49" s="11">
        <v>3500</v>
      </c>
      <c r="H49" s="11"/>
      <c r="I49" s="12">
        <f>I47+G49</f>
        <v>2150</v>
      </c>
    </row>
    <row r="50" spans="5:12" x14ac:dyDescent="0.25">
      <c r="E50" s="3"/>
    </row>
    <row r="52" spans="5:12" x14ac:dyDescent="0.25">
      <c r="E52" s="13" t="s">
        <v>6</v>
      </c>
      <c r="J52">
        <v>3500</v>
      </c>
      <c r="L52">
        <v>12</v>
      </c>
    </row>
    <row r="53" spans="5:12" x14ac:dyDescent="0.25">
      <c r="E53" t="s">
        <v>7</v>
      </c>
    </row>
    <row r="54" spans="5:12" x14ac:dyDescent="0.25">
      <c r="J54">
        <v>1350</v>
      </c>
      <c r="L54" s="14"/>
    </row>
    <row r="55" spans="5:12" ht="15.75" thickBot="1" x14ac:dyDescent="0.3">
      <c r="L55" s="15" t="s">
        <v>5</v>
      </c>
    </row>
    <row r="56" spans="5:12" x14ac:dyDescent="0.25">
      <c r="L56" s="3">
        <v>3500</v>
      </c>
    </row>
    <row r="58" spans="5:12" x14ac:dyDescent="0.25">
      <c r="L58">
        <f>12/3500*1350</f>
        <v>4.6285714285714281</v>
      </c>
    </row>
    <row r="59" spans="5:12" x14ac:dyDescent="0.25">
      <c r="L59" s="16">
        <v>4</v>
      </c>
    </row>
    <row r="60" spans="5:12" x14ac:dyDescent="0.25">
      <c r="L60" s="16">
        <f>0.628*30</f>
        <v>18.84</v>
      </c>
    </row>
  </sheetData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S38"/>
  <sheetViews>
    <sheetView zoomScale="80" zoomScaleNormal="80" workbookViewId="0">
      <selection activeCell="V20" sqref="V20"/>
    </sheetView>
  </sheetViews>
  <sheetFormatPr defaultRowHeight="15" x14ac:dyDescent="0.25"/>
  <cols>
    <col min="9" max="9" width="14.7109375" customWidth="1"/>
    <col min="13" max="13" width="12.28515625" style="17" customWidth="1"/>
    <col min="18" max="18" width="10.7109375" customWidth="1"/>
  </cols>
  <sheetData>
    <row r="2" spans="13:19" x14ac:dyDescent="0.25">
      <c r="N2" s="4" t="s">
        <v>8</v>
      </c>
      <c r="P2" s="4" t="s">
        <v>9</v>
      </c>
    </row>
    <row r="5" spans="13:19" ht="15.75" x14ac:dyDescent="0.25">
      <c r="M5" s="20" t="s">
        <v>10</v>
      </c>
      <c r="N5" s="21">
        <f>360/120</f>
        <v>3</v>
      </c>
      <c r="O5" s="22"/>
      <c r="P5" s="22">
        <f>240/120</f>
        <v>2</v>
      </c>
      <c r="Q5" s="14"/>
      <c r="R5" s="14" t="s">
        <v>13</v>
      </c>
    </row>
    <row r="6" spans="13:19" x14ac:dyDescent="0.25">
      <c r="M6" s="23" t="s">
        <v>11</v>
      </c>
      <c r="N6" s="24">
        <f>240/60</f>
        <v>4</v>
      </c>
      <c r="O6" s="24"/>
      <c r="P6" s="24">
        <f>240/60</f>
        <v>4</v>
      </c>
      <c r="Q6" s="11"/>
      <c r="R6" s="25">
        <v>220000</v>
      </c>
      <c r="S6" t="s">
        <v>14</v>
      </c>
    </row>
    <row r="7" spans="13:19" x14ac:dyDescent="0.25">
      <c r="M7" s="23" t="s">
        <v>12</v>
      </c>
      <c r="N7" s="26">
        <f>375/250</f>
        <v>1.5</v>
      </c>
      <c r="O7" s="11"/>
      <c r="P7" s="26">
        <f>250/250</f>
        <v>1</v>
      </c>
      <c r="Q7" s="11"/>
      <c r="R7" s="11">
        <v>60000</v>
      </c>
      <c r="S7" t="s">
        <v>15</v>
      </c>
    </row>
    <row r="9" spans="13:19" x14ac:dyDescent="0.25">
      <c r="M9" s="17" t="str">
        <f>M6</f>
        <v>M2</v>
      </c>
      <c r="N9" t="s">
        <v>16</v>
      </c>
      <c r="R9" s="5">
        <f>4*25000+4*32000</f>
        <v>228000</v>
      </c>
      <c r="S9" t="s">
        <v>17</v>
      </c>
    </row>
    <row r="11" spans="13:19" x14ac:dyDescent="0.25">
      <c r="M11" s="17" t="str">
        <f>M7</f>
        <v>D/L Hrs</v>
      </c>
      <c r="N11" t="s">
        <v>18</v>
      </c>
      <c r="R11">
        <f>1.5*25000+1*32000</f>
        <v>69500</v>
      </c>
      <c r="S11" t="s">
        <v>19</v>
      </c>
    </row>
    <row r="22" spans="1:15" x14ac:dyDescent="0.25">
      <c r="A22" s="27" t="s">
        <v>20</v>
      </c>
      <c r="E22" s="4" t="s">
        <v>21</v>
      </c>
      <c r="F22" s="4"/>
      <c r="G22" s="4" t="s">
        <v>22</v>
      </c>
      <c r="I22" s="27" t="s">
        <v>28</v>
      </c>
    </row>
    <row r="23" spans="1:15" x14ac:dyDescent="0.25">
      <c r="C23" t="s">
        <v>23</v>
      </c>
      <c r="E23">
        <v>1200</v>
      </c>
      <c r="G23">
        <v>900</v>
      </c>
    </row>
    <row r="24" spans="1:15" ht="23.25" x14ac:dyDescent="0.35">
      <c r="C24" t="s">
        <v>24</v>
      </c>
      <c r="J24" s="29" t="s">
        <v>29</v>
      </c>
    </row>
    <row r="25" spans="1:15" ht="23.25" x14ac:dyDescent="0.35">
      <c r="C25" t="s">
        <v>25</v>
      </c>
      <c r="E25">
        <f>-(360+240+375+120)</f>
        <v>-1095</v>
      </c>
      <c r="J25" s="29" t="s">
        <v>30</v>
      </c>
    </row>
    <row r="26" spans="1:15" x14ac:dyDescent="0.25">
      <c r="C26" t="s">
        <v>27</v>
      </c>
      <c r="G26">
        <f>-240-240-250-80</f>
        <v>-810</v>
      </c>
    </row>
    <row r="27" spans="1:15" ht="15.75" thickBot="1" x14ac:dyDescent="0.3">
      <c r="C27" s="28" t="s">
        <v>26</v>
      </c>
      <c r="D27" s="28"/>
      <c r="E27" s="28">
        <f>SUM(E23:E26)</f>
        <v>105</v>
      </c>
      <c r="G27" s="28">
        <f>SUM(G23:G26)</f>
        <v>90</v>
      </c>
      <c r="I27" s="27" t="s">
        <v>33</v>
      </c>
    </row>
    <row r="28" spans="1:15" ht="27" thickTop="1" x14ac:dyDescent="0.45">
      <c r="J28" s="33" t="s">
        <v>31</v>
      </c>
      <c r="K28" s="35" t="s">
        <v>32</v>
      </c>
    </row>
    <row r="31" spans="1:15" ht="21" x14ac:dyDescent="0.35">
      <c r="I31" s="27" t="s">
        <v>34</v>
      </c>
      <c r="O31" s="39" t="s">
        <v>42</v>
      </c>
    </row>
    <row r="33" spans="8:17" ht="40.5" customHeight="1" x14ac:dyDescent="0.7">
      <c r="H33" s="3">
        <v>1</v>
      </c>
      <c r="I33" s="32" t="s">
        <v>11</v>
      </c>
      <c r="J33" s="38" t="s">
        <v>35</v>
      </c>
      <c r="K33" s="38"/>
      <c r="L33" s="37" t="s">
        <v>36</v>
      </c>
      <c r="M33" s="36">
        <v>220000</v>
      </c>
      <c r="O33" s="40" t="s">
        <v>43</v>
      </c>
      <c r="P33" s="41">
        <v>0</v>
      </c>
      <c r="Q33" s="42">
        <f>220000/4</f>
        <v>55000</v>
      </c>
    </row>
    <row r="34" spans="8:17" ht="39" customHeight="1" x14ac:dyDescent="0.25">
      <c r="O34" s="40" t="s">
        <v>44</v>
      </c>
      <c r="P34" s="43">
        <f>220000/4</f>
        <v>55000</v>
      </c>
      <c r="Q34" s="41">
        <v>0</v>
      </c>
    </row>
    <row r="36" spans="8:17" ht="46.5" x14ac:dyDescent="0.7">
      <c r="H36" s="3">
        <v>2</v>
      </c>
      <c r="I36" s="30" t="s">
        <v>37</v>
      </c>
      <c r="J36" s="38" t="s">
        <v>38</v>
      </c>
      <c r="K36" s="38"/>
      <c r="L36" s="37" t="s">
        <v>36</v>
      </c>
      <c r="M36" s="36">
        <v>60000</v>
      </c>
      <c r="O36" s="40" t="s">
        <v>43</v>
      </c>
      <c r="P36" s="41">
        <v>0</v>
      </c>
      <c r="Q36" s="42">
        <f>60000/1.5</f>
        <v>40000</v>
      </c>
    </row>
    <row r="37" spans="8:17" ht="26.25" x14ac:dyDescent="0.25">
      <c r="O37" s="40" t="s">
        <v>44</v>
      </c>
      <c r="P37" s="43">
        <v>60000</v>
      </c>
      <c r="Q37" s="41">
        <v>0</v>
      </c>
    </row>
    <row r="38" spans="8:17" ht="46.5" x14ac:dyDescent="0.7">
      <c r="H38" s="3">
        <v>3</v>
      </c>
      <c r="I38" s="1" t="s">
        <v>40</v>
      </c>
      <c r="J38" s="70" t="s">
        <v>39</v>
      </c>
      <c r="K38" s="70"/>
      <c r="L38" s="37" t="s">
        <v>41</v>
      </c>
      <c r="M38" s="18">
        <v>0</v>
      </c>
    </row>
  </sheetData>
  <mergeCells count="1">
    <mergeCell ref="J38:K38"/>
  </mergeCells>
  <pageMargins left="0.7" right="0.7" top="0.75" bottom="0.75" header="0.3" footer="0.3"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Q38"/>
  <sheetViews>
    <sheetView zoomScale="80" zoomScaleNormal="80" workbookViewId="0">
      <selection activeCell="T13" sqref="T13"/>
    </sheetView>
  </sheetViews>
  <sheetFormatPr defaultRowHeight="15" x14ac:dyDescent="0.25"/>
  <cols>
    <col min="2" max="2" width="11.28515625" customWidth="1"/>
    <col min="4" max="4" width="14.28515625" bestFit="1" customWidth="1"/>
    <col min="8" max="8" width="15.28515625" bestFit="1" customWidth="1"/>
    <col min="17" max="17" width="9.7109375" bestFit="1" customWidth="1"/>
  </cols>
  <sheetData>
    <row r="2" spans="11:17" ht="20.25" x14ac:dyDescent="0.35">
      <c r="K2" s="44" t="s">
        <v>45</v>
      </c>
    </row>
    <row r="3" spans="11:17" x14ac:dyDescent="0.25">
      <c r="O3" t="s">
        <v>47</v>
      </c>
    </row>
    <row r="4" spans="11:17" x14ac:dyDescent="0.25">
      <c r="O4" t="s">
        <v>48</v>
      </c>
    </row>
    <row r="5" spans="11:17" x14ac:dyDescent="0.25">
      <c r="O5" t="s">
        <v>49</v>
      </c>
    </row>
    <row r="8" spans="11:17" ht="18.75" x14ac:dyDescent="0.3">
      <c r="Q8" s="45">
        <v>0.22720000000000001</v>
      </c>
    </row>
    <row r="10" spans="11:17" ht="20.25" x14ac:dyDescent="0.35">
      <c r="K10" s="44" t="s">
        <v>46</v>
      </c>
    </row>
    <row r="11" spans="11:17" x14ac:dyDescent="0.25">
      <c r="O11" t="s">
        <v>50</v>
      </c>
    </row>
    <row r="12" spans="11:17" x14ac:dyDescent="0.25">
      <c r="O12" t="s">
        <v>51</v>
      </c>
    </row>
    <row r="15" spans="11:17" ht="18.75" x14ac:dyDescent="0.3">
      <c r="P15" s="45">
        <v>8.4000000000000005E-2</v>
      </c>
    </row>
    <row r="19" spans="2:16" ht="20.25" x14ac:dyDescent="0.35">
      <c r="K19" s="44" t="s">
        <v>54</v>
      </c>
    </row>
    <row r="20" spans="2:16" x14ac:dyDescent="0.25">
      <c r="O20" t="s">
        <v>52</v>
      </c>
    </row>
    <row r="21" spans="2:16" x14ac:dyDescent="0.25">
      <c r="O21" t="s">
        <v>53</v>
      </c>
    </row>
    <row r="24" spans="2:16" ht="18.75" x14ac:dyDescent="0.3">
      <c r="D24" t="s">
        <v>21</v>
      </c>
      <c r="F24" t="s">
        <v>22</v>
      </c>
      <c r="H24" s="34" t="s">
        <v>62</v>
      </c>
      <c r="P24" s="45">
        <v>7.0000000000000007E-2</v>
      </c>
    </row>
    <row r="25" spans="2:16" s="19" customFormat="1" ht="30" x14ac:dyDescent="0.25">
      <c r="B25" s="46" t="s">
        <v>55</v>
      </c>
      <c r="D25" s="48" t="s">
        <v>59</v>
      </c>
      <c r="F25" s="46" t="s">
        <v>60</v>
      </c>
      <c r="H25" s="48" t="s">
        <v>61</v>
      </c>
    </row>
    <row r="26" spans="2:16" x14ac:dyDescent="0.25">
      <c r="D26" s="14"/>
      <c r="H26" s="14"/>
    </row>
    <row r="27" spans="2:16" ht="15.75" x14ac:dyDescent="0.25">
      <c r="B27" t="s">
        <v>56</v>
      </c>
      <c r="D27" s="49">
        <v>500000000</v>
      </c>
      <c r="F27" s="57">
        <f>22.72/100</f>
        <v>0.22719999999999999</v>
      </c>
      <c r="H27" s="50">
        <f>D27*F27</f>
        <v>113600000</v>
      </c>
    </row>
    <row r="28" spans="2:16" x14ac:dyDescent="0.25">
      <c r="D28" s="14"/>
      <c r="F28" s="3"/>
      <c r="H28" s="14"/>
    </row>
    <row r="29" spans="2:16" ht="15.75" x14ac:dyDescent="0.25">
      <c r="B29" t="s">
        <v>57</v>
      </c>
      <c r="D29" s="49">
        <v>800000000</v>
      </c>
      <c r="F29" s="57">
        <f>8.4/100</f>
        <v>8.4000000000000005E-2</v>
      </c>
      <c r="H29" s="50">
        <f>D29*F29</f>
        <v>67200000</v>
      </c>
    </row>
    <row r="30" spans="2:16" x14ac:dyDescent="0.25">
      <c r="D30" s="14"/>
      <c r="F30" s="3"/>
      <c r="H30" s="14"/>
    </row>
    <row r="31" spans="2:16" ht="15.75" x14ac:dyDescent="0.25">
      <c r="B31" t="s">
        <v>58</v>
      </c>
      <c r="D31" s="49">
        <v>200000000</v>
      </c>
      <c r="F31" s="57">
        <f>7/100</f>
        <v>7.0000000000000007E-2</v>
      </c>
      <c r="H31" s="50">
        <f>D31*F31</f>
        <v>14000000.000000002</v>
      </c>
    </row>
    <row r="32" spans="2:16" ht="16.5" thickBot="1" x14ac:dyDescent="0.3">
      <c r="D32" s="52">
        <f>SUM(D27:D31)</f>
        <v>1500000000</v>
      </c>
      <c r="H32" s="53">
        <f>SUM(H27:H31)</f>
        <v>194800000</v>
      </c>
    </row>
    <row r="33" spans="3:6" ht="15.75" thickTop="1" x14ac:dyDescent="0.25"/>
    <row r="35" spans="3:6" ht="15.75" thickBot="1" x14ac:dyDescent="0.3">
      <c r="C35" s="71" t="s">
        <v>63</v>
      </c>
      <c r="D35" s="72">
        <f>H32</f>
        <v>194800000</v>
      </c>
      <c r="E35" s="73"/>
      <c r="F35" s="76" t="s">
        <v>64</v>
      </c>
    </row>
    <row r="36" spans="3:6" x14ac:dyDescent="0.25">
      <c r="C36" s="71"/>
      <c r="D36" s="74">
        <f>D32</f>
        <v>1500000000</v>
      </c>
      <c r="E36" s="75"/>
      <c r="F36" s="76"/>
    </row>
    <row r="37" spans="3:6" x14ac:dyDescent="0.25">
      <c r="C37" s="54"/>
    </row>
    <row r="38" spans="3:6" ht="18.75" x14ac:dyDescent="0.3">
      <c r="D38" s="56">
        <f>194.8/1500</f>
        <v>0.12986666666666669</v>
      </c>
    </row>
  </sheetData>
  <mergeCells count="4">
    <mergeCell ref="C35:C36"/>
    <mergeCell ref="D35:E35"/>
    <mergeCell ref="D36:E36"/>
    <mergeCell ref="F35:F36"/>
  </mergeCells>
  <pageMargins left="0.7" right="0.7" top="0.75" bottom="0.75" header="0.3" footer="0.3"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T30"/>
  <sheetViews>
    <sheetView zoomScale="80" zoomScaleNormal="80" workbookViewId="0">
      <selection activeCell="N1" sqref="N1"/>
    </sheetView>
  </sheetViews>
  <sheetFormatPr defaultRowHeight="15" x14ac:dyDescent="0.25"/>
  <cols>
    <col min="14" max="14" width="13.28515625" customWidth="1"/>
    <col min="16" max="16" width="11.28515625" bestFit="1" customWidth="1"/>
  </cols>
  <sheetData>
    <row r="5" spans="14:20" x14ac:dyDescent="0.25">
      <c r="P5" s="1" t="s">
        <v>66</v>
      </c>
      <c r="R5" s="1" t="s">
        <v>67</v>
      </c>
      <c r="T5" s="1" t="s">
        <v>68</v>
      </c>
    </row>
    <row r="6" spans="14:20" ht="15.75" x14ac:dyDescent="0.25">
      <c r="N6" s="59" t="s">
        <v>69</v>
      </c>
      <c r="O6" s="3">
        <v>100</v>
      </c>
      <c r="P6" s="63">
        <f>19000/0.95</f>
        <v>20000</v>
      </c>
      <c r="Q6">
        <v>100</v>
      </c>
      <c r="R6" s="13">
        <f>21600/0.9</f>
        <v>24000</v>
      </c>
    </row>
    <row r="7" spans="14:20" ht="15.75" x14ac:dyDescent="0.25">
      <c r="N7" s="59"/>
      <c r="P7" s="5"/>
    </row>
    <row r="8" spans="14:20" ht="15.75" x14ac:dyDescent="0.25">
      <c r="N8" s="59" t="s">
        <v>70</v>
      </c>
      <c r="O8" s="58">
        <v>-95</v>
      </c>
      <c r="P8" s="5">
        <v>-19000</v>
      </c>
      <c r="Q8" s="58">
        <v>-90</v>
      </c>
      <c r="R8" s="5">
        <v>-21600</v>
      </c>
      <c r="S8" s="58">
        <f>-92</f>
        <v>-92</v>
      </c>
      <c r="T8" s="5">
        <v>-23000</v>
      </c>
    </row>
    <row r="9" spans="14:20" ht="15.75" x14ac:dyDescent="0.25">
      <c r="N9" s="59"/>
      <c r="P9" s="5"/>
    </row>
    <row r="10" spans="14:20" ht="16.5" thickBot="1" x14ac:dyDescent="0.3">
      <c r="N10" s="59" t="s">
        <v>71</v>
      </c>
      <c r="O10" s="61">
        <v>0.05</v>
      </c>
      <c r="P10" s="62"/>
      <c r="Q10" s="60">
        <v>0.1</v>
      </c>
      <c r="R10" s="51"/>
      <c r="S10" s="60">
        <v>0.08</v>
      </c>
      <c r="T10" s="51"/>
    </row>
    <row r="11" spans="14:20" ht="16.5" thickTop="1" x14ac:dyDescent="0.25">
      <c r="N11" s="59"/>
      <c r="P11" s="5"/>
    </row>
    <row r="12" spans="14:20" ht="15.75" x14ac:dyDescent="0.25">
      <c r="N12" s="59"/>
    </row>
    <row r="20" spans="2:16" x14ac:dyDescent="0.25">
      <c r="B20" s="13" t="s">
        <v>65</v>
      </c>
    </row>
    <row r="21" spans="2:16" ht="15.75" x14ac:dyDescent="0.25">
      <c r="K21" s="58" t="s">
        <v>66</v>
      </c>
      <c r="P21" s="58" t="s">
        <v>67</v>
      </c>
    </row>
    <row r="29" spans="2:16" x14ac:dyDescent="0.25">
      <c r="J29" t="s">
        <v>72</v>
      </c>
      <c r="O29" t="s">
        <v>74</v>
      </c>
    </row>
    <row r="30" spans="2:16" ht="15.75" x14ac:dyDescent="0.25">
      <c r="J30" s="64" t="s">
        <v>73</v>
      </c>
      <c r="O30" s="64" t="s">
        <v>75</v>
      </c>
    </row>
  </sheetData>
  <pageMargins left="0.7" right="0.7" top="0.75" bottom="0.75" header="0.3" footer="0.3"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T86"/>
  <sheetViews>
    <sheetView zoomScale="80" zoomScaleNormal="80" workbookViewId="0">
      <selection activeCell="B20" sqref="B20"/>
    </sheetView>
  </sheetViews>
  <sheetFormatPr defaultRowHeight="15" x14ac:dyDescent="0.25"/>
  <cols>
    <col min="9" max="9" width="14.28515625" bestFit="1" customWidth="1"/>
    <col min="11" max="11" width="13.140625" bestFit="1" customWidth="1"/>
    <col min="15" max="15" width="20" customWidth="1"/>
    <col min="18" max="18" width="14.5703125" customWidth="1"/>
  </cols>
  <sheetData>
    <row r="1" spans="13:20" x14ac:dyDescent="0.25">
      <c r="Q1" s="1" t="s">
        <v>87</v>
      </c>
      <c r="S1" s="1" t="s">
        <v>88</v>
      </c>
    </row>
    <row r="4" spans="13:20" ht="18.75" x14ac:dyDescent="0.3">
      <c r="M4" s="65" t="s">
        <v>86</v>
      </c>
      <c r="N4" s="14"/>
      <c r="O4" s="14"/>
      <c r="P4" s="70" t="s">
        <v>89</v>
      </c>
      <c r="Q4" s="70"/>
      <c r="S4" s="70" t="s">
        <v>90</v>
      </c>
      <c r="T4" s="70"/>
    </row>
    <row r="5" spans="13:20" x14ac:dyDescent="0.25">
      <c r="P5" s="74">
        <v>8800000</v>
      </c>
      <c r="Q5" s="75"/>
      <c r="S5" s="74">
        <v>4200000</v>
      </c>
      <c r="T5" s="75"/>
    </row>
    <row r="6" spans="13:20" x14ac:dyDescent="0.25">
      <c r="P6" s="55"/>
      <c r="Q6" s="3"/>
      <c r="S6" s="55"/>
      <c r="T6" s="3"/>
    </row>
    <row r="7" spans="13:20" ht="18.75" x14ac:dyDescent="0.3">
      <c r="M7" s="66" t="s">
        <v>91</v>
      </c>
      <c r="P7" s="77" t="s">
        <v>95</v>
      </c>
      <c r="Q7" s="77"/>
      <c r="S7" s="78" t="s">
        <v>96</v>
      </c>
      <c r="T7" s="78"/>
    </row>
    <row r="9" spans="13:20" ht="18.75" x14ac:dyDescent="0.3">
      <c r="M9" s="31" t="s">
        <v>92</v>
      </c>
    </row>
    <row r="10" spans="13:20" x14ac:dyDescent="0.25">
      <c r="P10" t="s">
        <v>93</v>
      </c>
      <c r="S10" t="s">
        <v>94</v>
      </c>
    </row>
    <row r="11" spans="13:20" x14ac:dyDescent="0.25">
      <c r="P11" s="74">
        <v>8000000</v>
      </c>
      <c r="Q11" s="75"/>
      <c r="S11" s="74">
        <v>4500000</v>
      </c>
      <c r="T11" s="75"/>
    </row>
    <row r="20" spans="2:9" ht="15.75" x14ac:dyDescent="0.25">
      <c r="E20" s="2" t="s">
        <v>76</v>
      </c>
    </row>
    <row r="24" spans="2:9" x14ac:dyDescent="0.25">
      <c r="C24" s="1" t="s">
        <v>77</v>
      </c>
      <c r="G24" t="s">
        <v>78</v>
      </c>
    </row>
    <row r="26" spans="2:9" x14ac:dyDescent="0.25">
      <c r="B26" s="1" t="s">
        <v>79</v>
      </c>
      <c r="G26" t="s">
        <v>82</v>
      </c>
    </row>
    <row r="27" spans="2:9" x14ac:dyDescent="0.25">
      <c r="B27" s="1" t="s">
        <v>80</v>
      </c>
      <c r="G27" t="s">
        <v>80</v>
      </c>
    </row>
    <row r="28" spans="2:9" x14ac:dyDescent="0.25">
      <c r="B28" s="1" t="s">
        <v>81</v>
      </c>
      <c r="G28" t="s">
        <v>83</v>
      </c>
    </row>
    <row r="32" spans="2:9" x14ac:dyDescent="0.25">
      <c r="E32" s="14" t="s">
        <v>84</v>
      </c>
      <c r="F32" s="14"/>
      <c r="I32" t="s">
        <v>85</v>
      </c>
    </row>
    <row r="33" spans="5:6" x14ac:dyDescent="0.25">
      <c r="E33" s="14"/>
      <c r="F33" s="14"/>
    </row>
    <row r="34" spans="5:6" x14ac:dyDescent="0.25">
      <c r="E34" s="14"/>
      <c r="F34" s="14"/>
    </row>
    <row r="49" spans="2:12" x14ac:dyDescent="0.25">
      <c r="I49" s="5">
        <f>1800*13000</f>
        <v>23400000</v>
      </c>
      <c r="K49" s="67">
        <f>1800*7200</f>
        <v>12960000</v>
      </c>
    </row>
    <row r="50" spans="2:12" ht="18.75" x14ac:dyDescent="0.3">
      <c r="B50" s="65" t="s">
        <v>97</v>
      </c>
      <c r="I50" t="s">
        <v>102</v>
      </c>
      <c r="K50" s="68" t="s">
        <v>103</v>
      </c>
    </row>
    <row r="51" spans="2:12" x14ac:dyDescent="0.25">
      <c r="K51" s="68"/>
    </row>
    <row r="52" spans="2:12" ht="18.75" x14ac:dyDescent="0.3">
      <c r="B52" s="66" t="s">
        <v>98</v>
      </c>
      <c r="I52" s="4" t="s">
        <v>101</v>
      </c>
      <c r="J52" s="4"/>
      <c r="K52" s="69" t="str">
        <f>I52</f>
        <v>1,800,000 F</v>
      </c>
    </row>
    <row r="53" spans="2:12" x14ac:dyDescent="0.25">
      <c r="K53" s="68"/>
    </row>
    <row r="54" spans="2:12" ht="18.75" x14ac:dyDescent="0.3">
      <c r="B54" s="31" t="s">
        <v>99</v>
      </c>
      <c r="I54" t="s">
        <v>100</v>
      </c>
      <c r="K54" s="68" t="s">
        <v>104</v>
      </c>
    </row>
    <row r="55" spans="2:12" x14ac:dyDescent="0.25">
      <c r="I55" s="5">
        <f>1800*12000</f>
        <v>21600000</v>
      </c>
      <c r="K55" s="67">
        <f>1800*6200</f>
        <v>11160000</v>
      </c>
    </row>
    <row r="56" spans="2:12" x14ac:dyDescent="0.25">
      <c r="K56" s="68"/>
    </row>
    <row r="57" spans="2:12" ht="18.75" x14ac:dyDescent="0.3">
      <c r="B57" s="66" t="s">
        <v>108</v>
      </c>
      <c r="I57" s="55" t="s">
        <v>109</v>
      </c>
      <c r="K57" s="68"/>
    </row>
    <row r="59" spans="2:12" ht="18.75" x14ac:dyDescent="0.3">
      <c r="B59" s="31" t="s">
        <v>105</v>
      </c>
      <c r="I59" t="s">
        <v>106</v>
      </c>
      <c r="K59" t="s">
        <v>107</v>
      </c>
    </row>
    <row r="60" spans="2:12" x14ac:dyDescent="0.25">
      <c r="I60" s="5">
        <f>12000*2000</f>
        <v>24000000</v>
      </c>
      <c r="K60" s="47">
        <v>12400000</v>
      </c>
    </row>
    <row r="61" spans="2:12" ht="15.75" thickBot="1" x14ac:dyDescent="0.3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</row>
    <row r="63" spans="2:12" x14ac:dyDescent="0.25">
      <c r="I63" s="5">
        <f>18800*550</f>
        <v>10340000</v>
      </c>
    </row>
    <row r="64" spans="2:12" s="2" customFormat="1" ht="15.75" x14ac:dyDescent="0.25">
      <c r="B64" s="2" t="s">
        <v>110</v>
      </c>
      <c r="I64" s="2" t="s">
        <v>113</v>
      </c>
    </row>
    <row r="66" spans="2:10" x14ac:dyDescent="0.25">
      <c r="B66" s="13" t="s">
        <v>112</v>
      </c>
      <c r="I66" s="26" t="s">
        <v>115</v>
      </c>
    </row>
    <row r="68" spans="2:10" s="2" customFormat="1" ht="15.75" x14ac:dyDescent="0.25">
      <c r="B68" s="2" t="s">
        <v>111</v>
      </c>
    </row>
    <row r="69" spans="2:10" ht="15.75" x14ac:dyDescent="0.25">
      <c r="I69" s="2" t="s">
        <v>114</v>
      </c>
    </row>
    <row r="70" spans="2:10" x14ac:dyDescent="0.25">
      <c r="I70" s="5">
        <f>18800*400</f>
        <v>7520000</v>
      </c>
    </row>
    <row r="72" spans="2:10" x14ac:dyDescent="0.25">
      <c r="B72" s="13" t="s">
        <v>119</v>
      </c>
      <c r="I72" s="26" t="s">
        <v>120</v>
      </c>
    </row>
    <row r="74" spans="2:10" s="2" customFormat="1" ht="15.75" x14ac:dyDescent="0.25">
      <c r="B74" s="2" t="s">
        <v>116</v>
      </c>
      <c r="I74" s="2" t="s">
        <v>118</v>
      </c>
    </row>
    <row r="75" spans="2:10" x14ac:dyDescent="0.25">
      <c r="B75" t="s">
        <v>117</v>
      </c>
      <c r="I75" s="5">
        <f>18000*400</f>
        <v>7200000</v>
      </c>
    </row>
    <row r="77" spans="2:10" ht="15.75" thickBot="1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9" spans="2:10" x14ac:dyDescent="0.25">
      <c r="I79" s="5">
        <f>6100*200</f>
        <v>1220000</v>
      </c>
    </row>
    <row r="80" spans="2:10" ht="15.75" x14ac:dyDescent="0.25">
      <c r="B80" s="2" t="s">
        <v>121</v>
      </c>
      <c r="C80" s="2"/>
      <c r="D80" s="2"/>
      <c r="E80" s="2"/>
      <c r="F80" s="2"/>
      <c r="G80" s="2"/>
      <c r="H80" s="2"/>
      <c r="I80" s="2" t="s">
        <v>123</v>
      </c>
    </row>
    <row r="82" spans="2:9" x14ac:dyDescent="0.25">
      <c r="B82" s="13" t="s">
        <v>125</v>
      </c>
      <c r="I82" s="26" t="s">
        <v>126</v>
      </c>
    </row>
    <row r="84" spans="2:9" ht="15.75" x14ac:dyDescent="0.25">
      <c r="B84" s="2" t="s">
        <v>122</v>
      </c>
      <c r="C84" s="2"/>
      <c r="D84" s="2"/>
      <c r="E84" s="2"/>
      <c r="F84" s="2"/>
      <c r="G84" s="2"/>
      <c r="H84" s="2"/>
      <c r="I84" s="2"/>
    </row>
    <row r="85" spans="2:9" ht="15.75" x14ac:dyDescent="0.25">
      <c r="I85" s="2" t="s">
        <v>124</v>
      </c>
    </row>
    <row r="86" spans="2:9" x14ac:dyDescent="0.25">
      <c r="I86" s="5">
        <v>915000</v>
      </c>
    </row>
  </sheetData>
  <mergeCells count="8">
    <mergeCell ref="P4:Q4"/>
    <mergeCell ref="S4:T4"/>
    <mergeCell ref="P11:Q11"/>
    <mergeCell ref="P5:Q5"/>
    <mergeCell ref="S5:T5"/>
    <mergeCell ref="S11:T11"/>
    <mergeCell ref="P7:Q7"/>
    <mergeCell ref="S7:T7"/>
  </mergeCells>
  <pageMargins left="0.7" right="0.7" top="0.75" bottom="0.75" header="0.3" footer="0.3"/>
  <drawing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Q2</vt:lpstr>
      <vt:lpstr>Q3</vt:lpstr>
      <vt:lpstr>Q5</vt:lpstr>
      <vt:lpstr>Q1</vt:lpstr>
      <vt:lpstr>Q6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Kosala Madhusanka</dc:creator>
  <cp:lastModifiedBy>vLearning 1</cp:lastModifiedBy>
  <dcterms:created xsi:type="dcterms:W3CDTF">2023-08-03T14:04:31Z</dcterms:created>
  <dcterms:modified xsi:type="dcterms:W3CDTF">2023-08-16T08:41:01Z</dcterms:modified>
</cp:coreProperties>
</file>