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CL\AMA\Set 06\Final\"/>
    </mc:Choice>
  </mc:AlternateContent>
  <bookViews>
    <workbookView xWindow="0" yWindow="0" windowWidth="20490" windowHeight="7740" tabRatio="935"/>
  </bookViews>
  <sheets>
    <sheet name="Sheet1" sheetId="1" r:id="rId1"/>
    <sheet name="E1" sheetId="2" r:id="rId2"/>
    <sheet name="E2" sheetId="3" r:id="rId3"/>
    <sheet name="E3" sheetId="4" r:id="rId4"/>
    <sheet name="RCF" sheetId="5" r:id="rId5"/>
    <sheet name="E4" sheetId="6" r:id="rId6"/>
    <sheet name="E5" sheetId="7" r:id="rId7"/>
    <sheet name="E6" sheetId="8" r:id="rId8"/>
    <sheet name="Sheet2" sheetId="24" r:id="rId9"/>
    <sheet name="E7" sheetId="9" r:id="rId10"/>
    <sheet name="E8" sheetId="10" r:id="rId11"/>
    <sheet name="E9" sheetId="11" r:id="rId12"/>
    <sheet name="Inflation" sheetId="12" r:id="rId13"/>
    <sheet name="E12" sheetId="13" r:id="rId14"/>
    <sheet name="IT" sheetId="14" r:id="rId15"/>
    <sheet name="E10" sheetId="17" r:id="rId16"/>
    <sheet name="E11" sheetId="18" r:id="rId17"/>
    <sheet name="E13" sheetId="15" r:id="rId18"/>
    <sheet name="IRR" sheetId="16" r:id="rId19"/>
    <sheet name="Cap Rat" sheetId="19" r:id="rId20"/>
    <sheet name="E14" sheetId="22" r:id="rId21"/>
    <sheet name="Q1" sheetId="20" r:id="rId22"/>
    <sheet name="Q2" sheetId="21" r:id="rId23"/>
    <sheet name="Q3" sheetId="23" r:id="rId24"/>
    <sheet name="Q4" sheetId="26" r:id="rId25"/>
    <sheet name="Q5" sheetId="25" r:id="rId26"/>
    <sheet name="Sheet3" sheetId="27" r:id="rId2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5" i="26" l="1"/>
  <c r="E98" i="26"/>
  <c r="H84" i="26"/>
  <c r="G91" i="26"/>
  <c r="G90" i="26"/>
  <c r="G89" i="26"/>
  <c r="G88" i="26"/>
  <c r="G87" i="26"/>
  <c r="G86" i="26"/>
  <c r="G85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H86" i="26" s="1"/>
  <c r="E85" i="26"/>
  <c r="D85" i="26"/>
  <c r="F84" i="26"/>
  <c r="C78" i="26"/>
  <c r="C79" i="26" s="1"/>
  <c r="C65" i="26"/>
  <c r="C36" i="26"/>
  <c r="C37" i="26" s="1"/>
  <c r="G53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B66" i="26" s="1"/>
  <c r="F41" i="26"/>
  <c r="G41" i="26" s="1"/>
  <c r="F28" i="26"/>
  <c r="F29" i="26" s="1"/>
  <c r="E24" i="26"/>
  <c r="D24" i="26"/>
  <c r="E23" i="26"/>
  <c r="D23" i="26"/>
  <c r="E22" i="26"/>
  <c r="D22" i="26"/>
  <c r="E21" i="26"/>
  <c r="D21" i="26"/>
  <c r="E20" i="26"/>
  <c r="D20" i="26"/>
  <c r="F20" i="26" s="1"/>
  <c r="G20" i="26" s="1"/>
  <c r="E19" i="26"/>
  <c r="D19" i="26"/>
  <c r="E18" i="26"/>
  <c r="D18" i="26"/>
  <c r="F18" i="26" s="1"/>
  <c r="G18" i="26" s="1"/>
  <c r="F17" i="26"/>
  <c r="F5" i="26"/>
  <c r="E12" i="26"/>
  <c r="E11" i="26"/>
  <c r="E10" i="26"/>
  <c r="E9" i="26"/>
  <c r="E8" i="26"/>
  <c r="E7" i="26"/>
  <c r="E6" i="26"/>
  <c r="D12" i="26"/>
  <c r="F12" i="26" s="1"/>
  <c r="D11" i="26"/>
  <c r="D10" i="26"/>
  <c r="D9" i="26"/>
  <c r="D8" i="26"/>
  <c r="D7" i="26"/>
  <c r="D6" i="26"/>
  <c r="C66" i="26" l="1"/>
  <c r="C67" i="26" s="1"/>
  <c r="C68" i="26" s="1"/>
  <c r="F85" i="26"/>
  <c r="H85" i="26"/>
  <c r="F86" i="26"/>
  <c r="H87" i="26"/>
  <c r="F87" i="26"/>
  <c r="F88" i="26"/>
  <c r="H88" i="26"/>
  <c r="F89" i="26"/>
  <c r="H89" i="26"/>
  <c r="F90" i="26"/>
  <c r="H90" i="26"/>
  <c r="H91" i="26"/>
  <c r="F91" i="26"/>
  <c r="H92" i="26"/>
  <c r="G97" i="26" s="1"/>
  <c r="C100" i="26"/>
  <c r="C103" i="26" s="1"/>
  <c r="C104" i="26" s="1"/>
  <c r="H100" i="26"/>
  <c r="F9" i="26"/>
  <c r="F42" i="26"/>
  <c r="F23" i="26"/>
  <c r="F10" i="26"/>
  <c r="F19" i="26"/>
  <c r="G19" i="26" s="1"/>
  <c r="F7" i="26"/>
  <c r="F44" i="26"/>
  <c r="F48" i="26"/>
  <c r="G48" i="26" s="1"/>
  <c r="F45" i="26"/>
  <c r="F6" i="26"/>
  <c r="F43" i="26"/>
  <c r="F47" i="26"/>
  <c r="G47" i="26" s="1"/>
  <c r="F8" i="26"/>
  <c r="F22" i="26"/>
  <c r="G22" i="26" s="1"/>
  <c r="F24" i="26"/>
  <c r="G24" i="26" s="1"/>
  <c r="H24" i="26" s="1"/>
  <c r="C57" i="26"/>
  <c r="C59" i="26" s="1"/>
  <c r="C60" i="26" s="1"/>
  <c r="F21" i="26"/>
  <c r="G21" i="26" s="1"/>
  <c r="F11" i="26"/>
  <c r="F46" i="26"/>
  <c r="G2" i="25"/>
  <c r="M44" i="25"/>
  <c r="M42" i="25"/>
  <c r="N44" i="25" s="1"/>
  <c r="C44" i="25"/>
  <c r="C43" i="25"/>
  <c r="M32" i="25"/>
  <c r="L32" i="25"/>
  <c r="N32" i="25" s="1"/>
  <c r="N33" i="25" s="1"/>
  <c r="H19" i="25"/>
  <c r="R18" i="25"/>
  <c r="O19" i="25"/>
  <c r="O20" i="25" s="1"/>
  <c r="O21" i="25" s="1"/>
  <c r="G18" i="25"/>
  <c r="H18" i="25"/>
  <c r="I9" i="25"/>
  <c r="H11" i="25"/>
  <c r="H10" i="25"/>
  <c r="G11" i="25"/>
  <c r="O8" i="25"/>
  <c r="O9" i="25" s="1"/>
  <c r="G10" i="25"/>
  <c r="C12" i="25"/>
  <c r="F92" i="26" l="1"/>
  <c r="G54" i="26"/>
  <c r="G55" i="26" s="1"/>
  <c r="F13" i="26"/>
  <c r="F49" i="26"/>
  <c r="H22" i="26"/>
  <c r="H25" i="26" s="1"/>
  <c r="F30" i="26" s="1"/>
  <c r="F25" i="26"/>
  <c r="I18" i="25"/>
  <c r="I10" i="25"/>
  <c r="I11" i="25"/>
  <c r="R19" i="25"/>
  <c r="R20" i="25" s="1"/>
  <c r="R21" i="25" s="1"/>
  <c r="G19" i="25" s="1"/>
  <c r="I19" i="25" s="1"/>
  <c r="I20" i="25" s="1"/>
  <c r="D45" i="25" s="1"/>
  <c r="M45" i="25" s="1"/>
  <c r="M46" i="25" s="1"/>
  <c r="C14" i="23"/>
  <c r="D14" i="23" s="1"/>
  <c r="E14" i="23" s="1"/>
  <c r="F14" i="23" s="1"/>
  <c r="G14" i="23" s="1"/>
  <c r="D45" i="23"/>
  <c r="C45" i="23"/>
  <c r="B45" i="23"/>
  <c r="F46" i="23"/>
  <c r="F38" i="23"/>
  <c r="F40" i="23" s="1"/>
  <c r="G11" i="23" s="1"/>
  <c r="E38" i="23"/>
  <c r="E40" i="23" s="1"/>
  <c r="F11" i="23" s="1"/>
  <c r="D38" i="23"/>
  <c r="D40" i="23" s="1"/>
  <c r="E11" i="23" s="1"/>
  <c r="C38" i="23"/>
  <c r="C40" i="23" s="1"/>
  <c r="D11" i="23" s="1"/>
  <c r="B38" i="23"/>
  <c r="B40" i="23" s="1"/>
  <c r="C11" i="23" s="1"/>
  <c r="H37" i="23"/>
  <c r="I37" i="23" s="1"/>
  <c r="F32" i="23"/>
  <c r="G10" i="23" s="1"/>
  <c r="E32" i="23"/>
  <c r="F10" i="23" s="1"/>
  <c r="D32" i="23"/>
  <c r="E10" i="23" s="1"/>
  <c r="C32" i="23"/>
  <c r="D10" i="23" s="1"/>
  <c r="B32" i="23"/>
  <c r="C10" i="23" s="1"/>
  <c r="F26" i="23"/>
  <c r="E26" i="23"/>
  <c r="D26" i="23"/>
  <c r="C26" i="23"/>
  <c r="B26" i="23"/>
  <c r="B27" i="23" s="1"/>
  <c r="B8" i="23" s="1"/>
  <c r="B13" i="23" s="1"/>
  <c r="B15" i="23" s="1"/>
  <c r="B21" i="23"/>
  <c r="C9" i="23" s="1"/>
  <c r="F21" i="23"/>
  <c r="G9" i="23" s="1"/>
  <c r="E21" i="23"/>
  <c r="F9" i="23" s="1"/>
  <c r="D21" i="23"/>
  <c r="E9" i="23" s="1"/>
  <c r="C21" i="23"/>
  <c r="D9" i="23" s="1"/>
  <c r="C27" i="23" l="1"/>
  <c r="C8" i="23" s="1"/>
  <c r="D27" i="23"/>
  <c r="D8" i="23" s="1"/>
  <c r="E27" i="23"/>
  <c r="E8" i="23" s="1"/>
  <c r="F27" i="23"/>
  <c r="F8" i="23" s="1"/>
  <c r="B43" i="23"/>
  <c r="E97" i="26"/>
  <c r="E96" i="26"/>
  <c r="I12" i="25"/>
  <c r="C43" i="23"/>
  <c r="D43" i="23"/>
  <c r="E43" i="23"/>
  <c r="E47" i="23" s="1"/>
  <c r="E49" i="23" s="1"/>
  <c r="E50" i="23" s="1"/>
  <c r="F12" i="23" s="1"/>
  <c r="F13" i="23"/>
  <c r="F15" i="23" s="1"/>
  <c r="F43" i="23"/>
  <c r="F47" i="23" s="1"/>
  <c r="F49" i="23" s="1"/>
  <c r="F50" i="23" s="1"/>
  <c r="G12" i="23" s="1"/>
  <c r="G8" i="23"/>
  <c r="C47" i="23"/>
  <c r="B47" i="23"/>
  <c r="D47" i="23"/>
  <c r="D49" i="23" s="1"/>
  <c r="D50" i="23" s="1"/>
  <c r="E12" i="23" s="1"/>
  <c r="E13" i="23" s="1"/>
  <c r="E15" i="23" s="1"/>
  <c r="E9" i="19"/>
  <c r="F9" i="19" s="1"/>
  <c r="E8" i="19"/>
  <c r="F8" i="19" s="1"/>
  <c r="E7" i="19"/>
  <c r="F7" i="19" s="1"/>
  <c r="H67" i="19"/>
  <c r="F67" i="19"/>
  <c r="D67" i="19"/>
  <c r="C68" i="19"/>
  <c r="M39" i="19"/>
  <c r="O37" i="19"/>
  <c r="N37" i="19"/>
  <c r="M37" i="19"/>
  <c r="L37" i="19"/>
  <c r="C21" i="22"/>
  <c r="D5" i="22"/>
  <c r="C6" i="22"/>
  <c r="C10" i="19"/>
  <c r="C53" i="21"/>
  <c r="F50" i="21"/>
  <c r="H27" i="21"/>
  <c r="E26" i="21"/>
  <c r="D26" i="21"/>
  <c r="C26" i="21"/>
  <c r="B25" i="21"/>
  <c r="B27" i="21" s="1"/>
  <c r="B28" i="21" s="1"/>
  <c r="C29" i="21" s="1"/>
  <c r="C16" i="21" s="1"/>
  <c r="C18" i="21"/>
  <c r="D18" i="21" s="1"/>
  <c r="E18" i="21" s="1"/>
  <c r="F18" i="21" s="1"/>
  <c r="G18" i="21" s="1"/>
  <c r="H18" i="21" s="1"/>
  <c r="B17" i="21"/>
  <c r="G11" i="21"/>
  <c r="F11" i="21"/>
  <c r="E11" i="21"/>
  <c r="D11" i="21"/>
  <c r="C11" i="21"/>
  <c r="G9" i="21"/>
  <c r="G15" i="21" s="1"/>
  <c r="F9" i="21"/>
  <c r="F15" i="21" s="1"/>
  <c r="E9" i="21"/>
  <c r="E15" i="21" s="1"/>
  <c r="E24" i="21" s="1"/>
  <c r="E27" i="21" s="1"/>
  <c r="E28" i="21" s="1"/>
  <c r="F29" i="21" s="1"/>
  <c r="F16" i="21" s="1"/>
  <c r="D9" i="21"/>
  <c r="D15" i="21" s="1"/>
  <c r="C9" i="21"/>
  <c r="C15" i="21" s="1"/>
  <c r="F49" i="21" s="1"/>
  <c r="F51" i="21" s="1"/>
  <c r="C52" i="21" s="1"/>
  <c r="B19" i="21" l="1"/>
  <c r="B35" i="21"/>
  <c r="C35" i="21" s="1"/>
  <c r="D6" i="22"/>
  <c r="C7" i="22"/>
  <c r="G16" i="22"/>
  <c r="H68" i="19"/>
  <c r="F68" i="19"/>
  <c r="D68" i="19"/>
  <c r="C69" i="19"/>
  <c r="D73" i="19"/>
  <c r="F73" i="19"/>
  <c r="F76" i="19" s="1"/>
  <c r="H73" i="19"/>
  <c r="H76" i="19" s="1"/>
  <c r="I22" i="25"/>
  <c r="D34" i="25"/>
  <c r="G13" i="23"/>
  <c r="G15" i="23" s="1"/>
  <c r="B48" i="23"/>
  <c r="K46" i="23" s="1"/>
  <c r="K47" i="23" s="1"/>
  <c r="C48" i="23" s="1"/>
  <c r="C49" i="23"/>
  <c r="C50" i="23" s="1"/>
  <c r="D12" i="23" s="1"/>
  <c r="D13" i="23" s="1"/>
  <c r="D15" i="23" s="1"/>
  <c r="C24" i="21"/>
  <c r="C27" i="21" s="1"/>
  <c r="C28" i="21" s="1"/>
  <c r="D29" i="21" s="1"/>
  <c r="D16" i="21" s="1"/>
  <c r="D17" i="21" s="1"/>
  <c r="C17" i="21"/>
  <c r="B36" i="21" s="1"/>
  <c r="F17" i="21"/>
  <c r="F24" i="21"/>
  <c r="F27" i="21" s="1"/>
  <c r="F28" i="21" s="1"/>
  <c r="G29" i="21" s="1"/>
  <c r="G16" i="21" s="1"/>
  <c r="G17" i="21"/>
  <c r="G24" i="21"/>
  <c r="G27" i="21" s="1"/>
  <c r="G28" i="21" s="1"/>
  <c r="H29" i="21" s="1"/>
  <c r="H16" i="21" s="1"/>
  <c r="H17" i="21" s="1"/>
  <c r="D24" i="21"/>
  <c r="D27" i="21" s="1"/>
  <c r="D28" i="21" s="1"/>
  <c r="E29" i="21" s="1"/>
  <c r="E16" i="21" s="1"/>
  <c r="E17" i="21" s="1"/>
  <c r="I73" i="19" l="1"/>
  <c r="H69" i="19"/>
  <c r="F69" i="19"/>
  <c r="D69" i="19"/>
  <c r="C70" i="19"/>
  <c r="D7" i="22"/>
  <c r="C8" i="22"/>
  <c r="B49" i="23"/>
  <c r="B50" i="23" s="1"/>
  <c r="C12" i="23" s="1"/>
  <c r="C13" i="23" s="1"/>
  <c r="C15" i="23" s="1"/>
  <c r="B16" i="23" s="1"/>
  <c r="B37" i="21"/>
  <c r="D19" i="21"/>
  <c r="E19" i="21"/>
  <c r="B38" i="21"/>
  <c r="C36" i="21"/>
  <c r="C19" i="21"/>
  <c r="B41" i="21"/>
  <c r="H19" i="21"/>
  <c r="B39" i="21"/>
  <c r="F19" i="21"/>
  <c r="G19" i="21"/>
  <c r="B40" i="21"/>
  <c r="F52" i="21"/>
  <c r="C55" i="21"/>
  <c r="C9" i="22" l="1"/>
  <c r="D9" i="22" s="1"/>
  <c r="D8" i="22"/>
  <c r="G15" i="22" s="1"/>
  <c r="D10" i="22"/>
  <c r="C71" i="19"/>
  <c r="H70" i="19"/>
  <c r="F70" i="19"/>
  <c r="D70" i="19"/>
  <c r="B20" i="21"/>
  <c r="C37" i="21"/>
  <c r="C38" i="21" s="1"/>
  <c r="H71" i="19" l="1"/>
  <c r="H72" i="19" s="1"/>
  <c r="F71" i="19"/>
  <c r="F72" i="19" s="1"/>
  <c r="D71" i="19"/>
  <c r="D72" i="19" s="1"/>
  <c r="C39" i="21"/>
  <c r="C40" i="21" s="1"/>
  <c r="C41" i="21" s="1"/>
  <c r="E42" i="21"/>
  <c r="I72" i="19" l="1"/>
  <c r="D77" i="19"/>
  <c r="D74" i="19"/>
  <c r="F77" i="19"/>
  <c r="F74" i="19"/>
  <c r="H77" i="19"/>
  <c r="H74" i="19"/>
  <c r="K49" i="20"/>
  <c r="K50" i="20" s="1"/>
  <c r="K53" i="20"/>
  <c r="C38" i="20"/>
  <c r="C39" i="20" s="1"/>
  <c r="C40" i="20" s="1"/>
  <c r="C41" i="20" s="1"/>
  <c r="C42" i="20" s="1"/>
  <c r="D10" i="20"/>
  <c r="E10" i="20"/>
  <c r="F10" i="20"/>
  <c r="G10" i="20"/>
  <c r="C10" i="20"/>
  <c r="I10" i="20"/>
  <c r="I8" i="20"/>
  <c r="I9" i="20" s="1"/>
  <c r="I7" i="20"/>
  <c r="I77" i="19" l="1"/>
  <c r="I40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54" i="16"/>
  <c r="G55" i="16"/>
  <c r="G56" i="16"/>
  <c r="G57" i="16"/>
  <c r="G53" i="16"/>
  <c r="I44" i="16"/>
  <c r="I45" i="16"/>
  <c r="I46" i="16"/>
  <c r="I47" i="16"/>
  <c r="I48" i="16"/>
  <c r="I49" i="16"/>
  <c r="I50" i="16"/>
  <c r="I43" i="16"/>
  <c r="C42" i="16"/>
  <c r="C43" i="16"/>
  <c r="C44" i="16"/>
  <c r="C45" i="16"/>
  <c r="C46" i="16"/>
  <c r="C47" i="16"/>
  <c r="C48" i="16"/>
  <c r="C41" i="16"/>
  <c r="F18" i="18"/>
  <c r="F20" i="18" s="1"/>
  <c r="I7" i="15"/>
  <c r="I8" i="15" s="1"/>
  <c r="I9" i="15" s="1"/>
  <c r="I10" i="15" s="1"/>
  <c r="H7" i="15"/>
  <c r="J7" i="15" s="1"/>
  <c r="H6" i="15"/>
  <c r="J6" i="15" s="1"/>
  <c r="E19" i="15"/>
  <c r="E20" i="15" s="1"/>
  <c r="J17" i="15"/>
  <c r="K15" i="15"/>
  <c r="C17" i="15"/>
  <c r="B17" i="15"/>
  <c r="J18" i="15" s="1"/>
  <c r="D16" i="15"/>
  <c r="C16" i="15"/>
  <c r="C19" i="15" s="1"/>
  <c r="C20" i="15" s="1"/>
  <c r="D21" i="15" s="1"/>
  <c r="G9" i="15" s="1"/>
  <c r="H9" i="15" s="1"/>
  <c r="J9" i="15" s="1"/>
  <c r="B16" i="15"/>
  <c r="B19" i="15" s="1"/>
  <c r="B20" i="15" s="1"/>
  <c r="C21" i="15" s="1"/>
  <c r="G8" i="15" s="1"/>
  <c r="H8" i="15" s="1"/>
  <c r="J8" i="15" s="1"/>
  <c r="H26" i="14"/>
  <c r="H24" i="14"/>
  <c r="H23" i="14"/>
  <c r="E25" i="14"/>
  <c r="E27" i="14" s="1"/>
  <c r="E29" i="14" s="1"/>
  <c r="C25" i="14"/>
  <c r="G7" i="13"/>
  <c r="G9" i="13" s="1"/>
  <c r="G11" i="13" s="1"/>
  <c r="F6" i="13"/>
  <c r="H6" i="13" s="1"/>
  <c r="E7" i="13"/>
  <c r="E9" i="13" s="1"/>
  <c r="E11" i="13" s="1"/>
  <c r="C18" i="13"/>
  <c r="D7" i="13"/>
  <c r="D9" i="13" s="1"/>
  <c r="D11" i="13" s="1"/>
  <c r="C7" i="13"/>
  <c r="K33" i="12"/>
  <c r="K34" i="12" s="1"/>
  <c r="K35" i="12" s="1"/>
  <c r="K36" i="12" s="1"/>
  <c r="J41" i="12"/>
  <c r="J36" i="12"/>
  <c r="L36" i="12" s="1"/>
  <c r="J35" i="12"/>
  <c r="L35" i="12" s="1"/>
  <c r="J34" i="12"/>
  <c r="L34" i="12" s="1"/>
  <c r="J33" i="12"/>
  <c r="L33" i="12" s="1"/>
  <c r="J32" i="12"/>
  <c r="L32" i="12" s="1"/>
  <c r="L37" i="12" s="1"/>
  <c r="D32" i="12"/>
  <c r="C33" i="12"/>
  <c r="H28" i="12"/>
  <c r="C25" i="12"/>
  <c r="J14" i="12"/>
  <c r="J13" i="12"/>
  <c r="J12" i="12"/>
  <c r="J11" i="12"/>
  <c r="D14" i="12"/>
  <c r="D13" i="12"/>
  <c r="D12" i="12"/>
  <c r="D11" i="12"/>
  <c r="M9" i="11"/>
  <c r="E5" i="11"/>
  <c r="C10" i="11"/>
  <c r="D6" i="11"/>
  <c r="D5" i="10"/>
  <c r="L6" i="10"/>
  <c r="C6" i="10"/>
  <c r="D6" i="10" s="1"/>
  <c r="N8" i="9"/>
  <c r="I6" i="9" s="1"/>
  <c r="J6" i="9" s="1"/>
  <c r="J5" i="9"/>
  <c r="J7" i="9" s="1"/>
  <c r="D5" i="9"/>
  <c r="C6" i="9"/>
  <c r="Q28" i="8"/>
  <c r="D19" i="8"/>
  <c r="C23" i="8"/>
  <c r="D23" i="8" s="1"/>
  <c r="C22" i="8"/>
  <c r="D22" i="8" s="1"/>
  <c r="C21" i="8"/>
  <c r="D21" i="8" s="1"/>
  <c r="C20" i="8"/>
  <c r="D20" i="8" s="1"/>
  <c r="M14" i="8"/>
  <c r="M10" i="8"/>
  <c r="E5" i="8"/>
  <c r="B12" i="7"/>
  <c r="B11" i="7"/>
  <c r="B14" i="7" s="1"/>
  <c r="G13" i="6"/>
  <c r="C13" i="6" s="1"/>
  <c r="C5" i="6"/>
  <c r="D5" i="6" s="1"/>
  <c r="B6" i="6" s="1"/>
  <c r="O11" i="4"/>
  <c r="P11" i="4" s="1"/>
  <c r="I11" i="4"/>
  <c r="J11" i="4" s="1"/>
  <c r="C11" i="4"/>
  <c r="D11" i="4" s="1"/>
  <c r="O10" i="4"/>
  <c r="P10" i="4" s="1"/>
  <c r="I10" i="4"/>
  <c r="J10" i="4" s="1"/>
  <c r="C10" i="4"/>
  <c r="D10" i="4" s="1"/>
  <c r="O9" i="4"/>
  <c r="P9" i="4" s="1"/>
  <c r="I9" i="4"/>
  <c r="J9" i="4" s="1"/>
  <c r="C9" i="4"/>
  <c r="D9" i="4" s="1"/>
  <c r="O8" i="4"/>
  <c r="P8" i="4" s="1"/>
  <c r="I8" i="4"/>
  <c r="J8" i="4" s="1"/>
  <c r="C8" i="4"/>
  <c r="D8" i="4" s="1"/>
  <c r="O7" i="4"/>
  <c r="P7" i="4" s="1"/>
  <c r="I7" i="4"/>
  <c r="J7" i="4" s="1"/>
  <c r="C7" i="4"/>
  <c r="D7" i="4" s="1"/>
  <c r="Q6" i="4"/>
  <c r="K6" i="4"/>
  <c r="E6" i="4"/>
  <c r="E7" i="4" s="1"/>
  <c r="E8" i="4" s="1"/>
  <c r="E9" i="4" s="1"/>
  <c r="E10" i="4" s="1"/>
  <c r="K7" i="4" l="1"/>
  <c r="C6" i="6"/>
  <c r="D6" i="6" s="1"/>
  <c r="B7" i="6" s="1"/>
  <c r="D24" i="8"/>
  <c r="D6" i="9"/>
  <c r="C7" i="9"/>
  <c r="D7" i="10"/>
  <c r="D7" i="11"/>
  <c r="E6" i="11"/>
  <c r="D33" i="12"/>
  <c r="C34" i="12"/>
  <c r="F7" i="13"/>
  <c r="H7" i="13" s="1"/>
  <c r="C9" i="13"/>
  <c r="C27" i="14"/>
  <c r="H25" i="14"/>
  <c r="K18" i="15"/>
  <c r="K19" i="15" s="1"/>
  <c r="D18" i="15" s="1"/>
  <c r="D19" i="15" s="1"/>
  <c r="D20" i="15" s="1"/>
  <c r="E21" i="15" s="1"/>
  <c r="G10" i="15" s="1"/>
  <c r="H10" i="15" s="1"/>
  <c r="J10" i="15" s="1"/>
  <c r="E24" i="18"/>
  <c r="E22" i="18"/>
  <c r="J11" i="15"/>
  <c r="Q7" i="4"/>
  <c r="Q8" i="4" s="1"/>
  <c r="Q9" i="4" s="1"/>
  <c r="Q10" i="4" s="1"/>
  <c r="Q11" i="4" s="1"/>
  <c r="K8" i="4"/>
  <c r="K9" i="4" s="1"/>
  <c r="K10" i="4" s="1"/>
  <c r="C29" i="14" l="1"/>
  <c r="H27" i="14"/>
  <c r="H29" i="14" s="1"/>
  <c r="F9" i="13"/>
  <c r="H9" i="13" s="1"/>
  <c r="C11" i="13"/>
  <c r="F11" i="13" s="1"/>
  <c r="H11" i="13" s="1"/>
  <c r="D34" i="12"/>
  <c r="C35" i="12"/>
  <c r="D8" i="11"/>
  <c r="E7" i="11"/>
  <c r="D7" i="9"/>
  <c r="C8" i="9"/>
  <c r="C7" i="6"/>
  <c r="D7" i="6" s="1"/>
  <c r="J15" i="3"/>
  <c r="G18" i="3"/>
  <c r="G19" i="3" s="1"/>
  <c r="C11" i="3"/>
  <c r="C12" i="3" s="1"/>
  <c r="C13" i="3" s="1"/>
  <c r="C14" i="3" s="1"/>
  <c r="C15" i="3" s="1"/>
  <c r="O12" i="2"/>
  <c r="M13" i="2" s="1"/>
  <c r="O13" i="2" s="1"/>
  <c r="M14" i="2" s="1"/>
  <c r="O14" i="2" s="1"/>
  <c r="M15" i="2" s="1"/>
  <c r="O15" i="2" s="1"/>
  <c r="M16" i="2" s="1"/>
  <c r="O16" i="2" s="1"/>
  <c r="M17" i="2" s="1"/>
  <c r="O17" i="2" s="1"/>
  <c r="M18" i="2" s="1"/>
  <c r="O18" i="2" s="1"/>
  <c r="O20" i="2" s="1"/>
  <c r="E28" i="2"/>
  <c r="I27" i="2" s="1"/>
  <c r="E13" i="2"/>
  <c r="N13" i="2" s="1"/>
  <c r="P13" i="2" s="1"/>
  <c r="E14" i="2"/>
  <c r="N14" i="2" s="1"/>
  <c r="P14" i="2" s="1"/>
  <c r="E15" i="2"/>
  <c r="N15" i="2" s="1"/>
  <c r="P15" i="2" s="1"/>
  <c r="E16" i="2"/>
  <c r="N16" i="2" s="1"/>
  <c r="P16" i="2" s="1"/>
  <c r="E17" i="2"/>
  <c r="N17" i="2" s="1"/>
  <c r="P17" i="2" s="1"/>
  <c r="E18" i="2"/>
  <c r="N18" i="2" s="1"/>
  <c r="P18" i="2" s="1"/>
  <c r="E12" i="2"/>
  <c r="E19" i="2" l="1"/>
  <c r="E20" i="2" s="1"/>
  <c r="N12" i="2"/>
  <c r="D8" i="9"/>
  <c r="C9" i="9"/>
  <c r="D9" i="11"/>
  <c r="E8" i="11"/>
  <c r="D35" i="12"/>
  <c r="C36" i="12"/>
  <c r="D36" i="12" s="1"/>
  <c r="D37" i="12"/>
  <c r="H12" i="13"/>
  <c r="D10" i="11" l="1"/>
  <c r="E10" i="11" s="1"/>
  <c r="E9" i="11"/>
  <c r="E11" i="11" s="1"/>
  <c r="D9" i="9"/>
  <c r="C10" i="9"/>
  <c r="D10" i="9" s="1"/>
  <c r="C11" i="9"/>
  <c r="N19" i="2"/>
  <c r="N20" i="2" s="1"/>
  <c r="P20" i="2" s="1"/>
  <c r="P12" i="2"/>
  <c r="I14" i="2"/>
  <c r="I17" i="2" s="1"/>
  <c r="I26" i="2"/>
  <c r="I29" i="2" s="1"/>
  <c r="D11" i="9" l="1"/>
</calcChain>
</file>

<file path=xl/sharedStrings.xml><?xml version="1.0" encoding="utf-8"?>
<sst xmlns="http://schemas.openxmlformats.org/spreadsheetml/2006/main" count="1085" uniqueCount="582">
  <si>
    <t>Investment</t>
  </si>
  <si>
    <t>Apprisal</t>
  </si>
  <si>
    <t>Short term investment</t>
  </si>
  <si>
    <t>Mid/Long term investment</t>
  </si>
  <si>
    <t>Under WCM</t>
  </si>
  <si>
    <t>Financial market</t>
  </si>
  <si>
    <t>Acquisiton of assets</t>
  </si>
  <si>
    <t>Good / Bad</t>
  </si>
  <si>
    <t>Startegic level</t>
  </si>
  <si>
    <t>Basic (Non discounted CF)</t>
  </si>
  <si>
    <t>Detail (Discounted CF)</t>
  </si>
  <si>
    <t>Relevant Cash flows</t>
  </si>
  <si>
    <t>Compunding</t>
  </si>
  <si>
    <t>Pay Back Period</t>
  </si>
  <si>
    <t>Accounting Rate of Return</t>
  </si>
  <si>
    <t>Discounting</t>
  </si>
  <si>
    <t>(PBP)</t>
  </si>
  <si>
    <t>(ARR)</t>
  </si>
  <si>
    <t>Time value of money</t>
  </si>
  <si>
    <t>Net Present Value (NPV)</t>
  </si>
  <si>
    <t>Internal Rate of Return (IRR)</t>
  </si>
  <si>
    <t>Capital Rationing</t>
  </si>
  <si>
    <t>Sensitivity Analysis</t>
  </si>
  <si>
    <t>Annuity</t>
  </si>
  <si>
    <t>Profitability Index</t>
  </si>
  <si>
    <t>Perpetuity</t>
  </si>
  <si>
    <t xml:space="preserve">Inflation </t>
  </si>
  <si>
    <t>Taxation</t>
  </si>
  <si>
    <t>Equvelant Annual Value</t>
  </si>
  <si>
    <t>Discounted pay back period</t>
  </si>
  <si>
    <t>Mutiple Investment</t>
  </si>
  <si>
    <t>Mutually Exclusive</t>
  </si>
  <si>
    <t>TARR</t>
  </si>
  <si>
    <t>AARR</t>
  </si>
  <si>
    <t>A</t>
  </si>
  <si>
    <t>Reject</t>
  </si>
  <si>
    <t>B</t>
  </si>
  <si>
    <t>Accept</t>
  </si>
  <si>
    <t>C</t>
  </si>
  <si>
    <t>Exercise 01</t>
  </si>
  <si>
    <t>a)</t>
  </si>
  <si>
    <t>(800-100)/7</t>
  </si>
  <si>
    <t>Year</t>
  </si>
  <si>
    <t>Cash flows</t>
  </si>
  <si>
    <t>DepN</t>
  </si>
  <si>
    <t>Profit</t>
  </si>
  <si>
    <t>ARR =</t>
  </si>
  <si>
    <t>Ave. Annual Profit</t>
  </si>
  <si>
    <t>*100</t>
  </si>
  <si>
    <t>Open NBV</t>
  </si>
  <si>
    <t>Closing NBV</t>
  </si>
  <si>
    <t>ARR</t>
  </si>
  <si>
    <t>Initial investment</t>
  </si>
  <si>
    <t>Total profit</t>
  </si>
  <si>
    <t>Average Annual Profit</t>
  </si>
  <si>
    <t>b)</t>
  </si>
  <si>
    <t>Aver. Investment =</t>
  </si>
  <si>
    <t>Initial Investment + Scrap Value</t>
  </si>
  <si>
    <t>Ave. Investment</t>
  </si>
  <si>
    <t>800+100</t>
  </si>
  <si>
    <t>TPBP</t>
  </si>
  <si>
    <t>APBP</t>
  </si>
  <si>
    <t>Exercise 2</t>
  </si>
  <si>
    <t>CF</t>
  </si>
  <si>
    <t>Cum. CF</t>
  </si>
  <si>
    <t>PBP =</t>
  </si>
  <si>
    <t>3Years + 500/800*12Months</t>
  </si>
  <si>
    <t>3Years and 7.5Months</t>
  </si>
  <si>
    <t>Investment A</t>
  </si>
  <si>
    <t>Investment B</t>
  </si>
  <si>
    <t>Investment C</t>
  </si>
  <si>
    <t>20,000/5</t>
  </si>
  <si>
    <t>Dep'n</t>
  </si>
  <si>
    <t>Cash Flows</t>
  </si>
  <si>
    <t>Cum. C/F</t>
  </si>
  <si>
    <t>PBP</t>
  </si>
  <si>
    <t>3y+2,500/5,500*12months</t>
  </si>
  <si>
    <t>2y+3,000/9,000*12months</t>
  </si>
  <si>
    <t>4y+3,000/10,000*12months</t>
  </si>
  <si>
    <t>3y and 5.45 months</t>
  </si>
  <si>
    <t>2y and 4 months</t>
  </si>
  <si>
    <t>4y and 3.6 months</t>
  </si>
  <si>
    <t>Advice</t>
  </si>
  <si>
    <t>Not acceptable</t>
  </si>
  <si>
    <t>Acceptable</t>
  </si>
  <si>
    <t>Identification of relevant cash flows</t>
  </si>
  <si>
    <t>Relevant cash flows</t>
  </si>
  <si>
    <t>Non-relevant cash flows</t>
  </si>
  <si>
    <t>01. Estimated cost for the gym if Rs.1.5Mn, incremental cost</t>
  </si>
  <si>
    <t>01. Purchase value of land Rs.150Mn, sunk cost</t>
  </si>
  <si>
    <t>02. Hotel development cost of Rs.300Mn, incremental cost</t>
  </si>
  <si>
    <t>02. Revaluation surplus of Rs.30Mn, book entry and no cash flow.</t>
  </si>
  <si>
    <t>03. Estimated annual income of Rs.120Mn, incremental cash inflow</t>
  </si>
  <si>
    <t>03. Payment of Rs.1.5Mn paid to architecture, sunk cost</t>
  </si>
  <si>
    <t>04. Operating cost of Rs85Mn, incremental cost</t>
  </si>
  <si>
    <t>04. Payment of Rs.1Mn paid to CMC, sunk cost</t>
  </si>
  <si>
    <t>05. Sales proceeds of the land of Rs.200Mn, opportunity cost</t>
  </si>
  <si>
    <t>05. Advance payment of Rs.2.5Mn paid to architecture, sunk cost</t>
  </si>
  <si>
    <t>06. Agreed artchitectural fees of Rs.7.5Mn, committed cost</t>
  </si>
  <si>
    <t>07. Payment of Rs.3Mn to manage the protest, sunk cost</t>
  </si>
  <si>
    <t>08. Depreciation of Rs.15Mn, norminal cost</t>
  </si>
  <si>
    <t>10. Head officie expenses Rs.5Mn, it is not incremental cost</t>
  </si>
  <si>
    <t>Exercise 04 - Compounding</t>
  </si>
  <si>
    <t>OB</t>
  </si>
  <si>
    <t>Interest @ 15%</t>
  </si>
  <si>
    <t>CB</t>
  </si>
  <si>
    <t>FV =</t>
  </si>
  <si>
    <t>PV (1+R)^N</t>
  </si>
  <si>
    <t>1,000,000* (1+0.15)^3</t>
  </si>
  <si>
    <t>1,000,000*1.520875</t>
  </si>
  <si>
    <t>Exercise 05  - Discounting</t>
  </si>
  <si>
    <t>PV =</t>
  </si>
  <si>
    <t>FV</t>
  </si>
  <si>
    <t>(1+R)^N</t>
  </si>
  <si>
    <t>(1+0.15)^3</t>
  </si>
  <si>
    <t>Time</t>
  </si>
  <si>
    <t>Y0</t>
  </si>
  <si>
    <t>Y3</t>
  </si>
  <si>
    <t>Short term decision making</t>
  </si>
  <si>
    <t>Long term decision making</t>
  </si>
  <si>
    <t>Today - Invested</t>
  </si>
  <si>
    <t>Interest</t>
  </si>
  <si>
    <t>3 years time</t>
  </si>
  <si>
    <t>Income - Cost</t>
  </si>
  <si>
    <t>No time value</t>
  </si>
  <si>
    <t>PV of income - PV of Cost</t>
  </si>
  <si>
    <t>Time value should be considered</t>
  </si>
  <si>
    <t>Investment Y0</t>
  </si>
  <si>
    <t>Cost of capital = similar Interest</t>
  </si>
  <si>
    <t>NCF 1-5 Years</t>
  </si>
  <si>
    <t>Incorrect</t>
  </si>
  <si>
    <t>why comparison is not apples to apples</t>
  </si>
  <si>
    <t>Capital</t>
  </si>
  <si>
    <t>Cost</t>
  </si>
  <si>
    <t>Ordinary share capital</t>
  </si>
  <si>
    <t>Dividends</t>
  </si>
  <si>
    <t>Debentures</t>
  </si>
  <si>
    <t>Cost of capital</t>
  </si>
  <si>
    <t>NCF 1-5 Years (Y0)</t>
  </si>
  <si>
    <t>Bank loans</t>
  </si>
  <si>
    <t>Correct</t>
  </si>
  <si>
    <t>why investment and NCF both at Y0</t>
  </si>
  <si>
    <t>Lease</t>
  </si>
  <si>
    <t>Rs.1,000,000</t>
  </si>
  <si>
    <t>NCF</t>
  </si>
  <si>
    <t>COC @ 10%</t>
  </si>
  <si>
    <t>PV</t>
  </si>
  <si>
    <t>Expected return @ 15%</t>
  </si>
  <si>
    <t>NPV</t>
  </si>
  <si>
    <t>Rejected</t>
  </si>
  <si>
    <t>Income</t>
  </si>
  <si>
    <t>Dividents</t>
  </si>
  <si>
    <t>Rs.150,000</t>
  </si>
  <si>
    <t>Retain Rs.30,000</t>
  </si>
  <si>
    <t>Exercise 07 - Annuity</t>
  </si>
  <si>
    <t>AF =</t>
  </si>
  <si>
    <t>1-(1+R)^-N</t>
  </si>
  <si>
    <t>R</t>
  </si>
  <si>
    <t>1-5</t>
  </si>
  <si>
    <t>1-(1.1)^-5</t>
  </si>
  <si>
    <t>Exercise 8 - Perpetuity</t>
  </si>
  <si>
    <t>COC @ 9%</t>
  </si>
  <si>
    <t>COC =</t>
  </si>
  <si>
    <t>1/r</t>
  </si>
  <si>
    <t>1/0.09</t>
  </si>
  <si>
    <r>
      <t xml:space="preserve">1 - </t>
    </r>
    <r>
      <rPr>
        <sz val="16"/>
        <color theme="1"/>
        <rFont val="Calibri"/>
        <family val="2"/>
      </rPr>
      <t>∞</t>
    </r>
  </si>
  <si>
    <t>Exercise 09 - Cash flows with perpetuity</t>
  </si>
  <si>
    <t>Y1</t>
  </si>
  <si>
    <t>Y2</t>
  </si>
  <si>
    <t>Y4</t>
  </si>
  <si>
    <t>Y5</t>
  </si>
  <si>
    <t>Y6</t>
  </si>
  <si>
    <t>Y7</t>
  </si>
  <si>
    <t>Y8</t>
  </si>
  <si>
    <t>Y9</t>
  </si>
  <si>
    <r>
      <t xml:space="preserve"> </t>
    </r>
    <r>
      <rPr>
        <sz val="16"/>
        <color rgb="FFFF0000"/>
        <rFont val="Calibri"/>
        <family val="2"/>
      </rPr>
      <t>∞</t>
    </r>
  </si>
  <si>
    <t>500/0.1</t>
  </si>
  <si>
    <r>
      <t xml:space="preserve">5 - </t>
    </r>
    <r>
      <rPr>
        <sz val="16"/>
        <color theme="1"/>
        <rFont val="Calibri"/>
        <family val="2"/>
      </rPr>
      <t>∞</t>
    </r>
  </si>
  <si>
    <t>Advise to accept the project</t>
  </si>
  <si>
    <t>Inflation in project apprisal</t>
  </si>
  <si>
    <t>Nominal</t>
  </si>
  <si>
    <t>Real</t>
  </si>
  <si>
    <t>Cash inflows (income) will go up</t>
  </si>
  <si>
    <t>Inflation adjusted</t>
  </si>
  <si>
    <t>Original</t>
  </si>
  <si>
    <t>Cash outflows (cost) will go up</t>
  </si>
  <si>
    <t>COC</t>
  </si>
  <si>
    <t>COC will also go up</t>
  </si>
  <si>
    <t>If cash flows are nominal, COC should be nominal</t>
  </si>
  <si>
    <t>If cash flows are real, COC should be real</t>
  </si>
  <si>
    <t>Inflation affetect from the 01st year</t>
  </si>
  <si>
    <t>Inflation affected from the 02nd year</t>
  </si>
  <si>
    <t>Real Cash flow</t>
  </si>
  <si>
    <t>Inflation 5%</t>
  </si>
  <si>
    <t>Nominal cash flow</t>
  </si>
  <si>
    <t>1.05^1</t>
  </si>
  <si>
    <t>1.05^2</t>
  </si>
  <si>
    <t>1.05^3</t>
  </si>
  <si>
    <t>Where real COC is being given, it is required to calculate nominal COC</t>
  </si>
  <si>
    <t>1 + N =</t>
  </si>
  <si>
    <t>(1 + R) *( 1 + I)</t>
  </si>
  <si>
    <t>This is called fisher effect</t>
  </si>
  <si>
    <t>N =</t>
  </si>
  <si>
    <t>(1 + R) *( 1 + I) - 1</t>
  </si>
  <si>
    <t xml:space="preserve">Ex. </t>
  </si>
  <si>
    <t>Real COC is 10% and annual inflation is 5%</t>
  </si>
  <si>
    <t>How to convert nominal rate to real rate</t>
  </si>
  <si>
    <t>R =</t>
  </si>
  <si>
    <t>(1+N)</t>
  </si>
  <si>
    <t>(1+ I)</t>
  </si>
  <si>
    <t>(1+0.1) * (1+.05) - 1</t>
  </si>
  <si>
    <t>1 + 0.155</t>
  </si>
  <si>
    <t>1+ 0.05</t>
  </si>
  <si>
    <t>Inflation 4%</t>
  </si>
  <si>
    <t>Real NCF</t>
  </si>
  <si>
    <t>Real COC @ 12%</t>
  </si>
  <si>
    <t>Inflation @ 4%</t>
  </si>
  <si>
    <t>Nomial CF</t>
  </si>
  <si>
    <t>Norminal COC @ 16.48%</t>
  </si>
  <si>
    <t>1.04^1</t>
  </si>
  <si>
    <t>1.04^2</t>
  </si>
  <si>
    <t>1.04^3</t>
  </si>
  <si>
    <t>1.04^4</t>
  </si>
  <si>
    <t>Calculate NPV under real terms and nominal terms</t>
  </si>
  <si>
    <t>N = (1+R)* (1+I)-1</t>
  </si>
  <si>
    <t>N = 1.12 * 1.04 -1</t>
  </si>
  <si>
    <t>N = 1.1648 -1</t>
  </si>
  <si>
    <t>Exercise 12</t>
  </si>
  <si>
    <t>Rs.Mn</t>
  </si>
  <si>
    <t>Invesment</t>
  </si>
  <si>
    <t>Sales</t>
  </si>
  <si>
    <t>Labour</t>
  </si>
  <si>
    <t>Other cost W1</t>
  </si>
  <si>
    <t>Nominal CF</t>
  </si>
  <si>
    <t>COC @ 15%</t>
  </si>
  <si>
    <t>1Mn*Rs.15*1.02^1</t>
  </si>
  <si>
    <t>1Mn*Rs.3*1.12^1</t>
  </si>
  <si>
    <t>1Mn*Rs.7*1.08^1</t>
  </si>
  <si>
    <t>1Mn*Rs.15*1.02^2</t>
  </si>
  <si>
    <t>1Mn*Rs.3*1.12^2</t>
  </si>
  <si>
    <t>1Mn*Rs.7*1.08^2</t>
  </si>
  <si>
    <t>1Mn*Rs.15*1.02^3</t>
  </si>
  <si>
    <t>1Mn*Rs.3*1.12^3</t>
  </si>
  <si>
    <t>1Mn*Rs.7*1.08^3</t>
  </si>
  <si>
    <t>It is advised to accept the project as it generates positive NPV of Rs.3.49Mn.</t>
  </si>
  <si>
    <t>W1 - Other cost per unit</t>
  </si>
  <si>
    <t>Direct material</t>
  </si>
  <si>
    <t>Variable OH</t>
  </si>
  <si>
    <t>Fixed OH</t>
  </si>
  <si>
    <t>Rs.3Mn / 1Mn units</t>
  </si>
  <si>
    <t>Income Tax</t>
  </si>
  <si>
    <t>Profit before taxation</t>
  </si>
  <si>
    <t>XXXX</t>
  </si>
  <si>
    <t>Taxable profit sale of project machinery (asset)</t>
  </si>
  <si>
    <t>(+) Depreciation</t>
  </si>
  <si>
    <t>XXX</t>
  </si>
  <si>
    <t>Net Cash flow</t>
  </si>
  <si>
    <t>Estimated selling price (scrap value)</t>
  </si>
  <si>
    <t>(-) Capital allowance</t>
  </si>
  <si>
    <t>(XXX)</t>
  </si>
  <si>
    <t>(-) Tax WDV of the asset</t>
  </si>
  <si>
    <t>Taxable profit</t>
  </si>
  <si>
    <t>Income Tax Rate</t>
  </si>
  <si>
    <t>xx%</t>
  </si>
  <si>
    <t>(-) Total Capital allowance claimed</t>
  </si>
  <si>
    <t>(XX)</t>
  </si>
  <si>
    <t>Income tax amount</t>
  </si>
  <si>
    <t>Taxable profit on sale of asset</t>
  </si>
  <si>
    <t>Income tax payment is a cash outflow</t>
  </si>
  <si>
    <t>Income tax is being paid based on the company profit not on the individual project's profit</t>
  </si>
  <si>
    <t>Certain project may generates tax losses, therefore no payment to be made, however that tax loss can be utilised against the taxable profit of another project resulting a tax saving</t>
  </si>
  <si>
    <t>Project B under review</t>
  </si>
  <si>
    <t>Accounting profit</t>
  </si>
  <si>
    <t>(+) Dpeciation</t>
  </si>
  <si>
    <t>Income tax rate</t>
  </si>
  <si>
    <t>Income tax</t>
  </si>
  <si>
    <t>Tax Saving - Opportunity gain which is similar to cash inflow</t>
  </si>
  <si>
    <t>Income tax is generally paid in 1 year arreas</t>
  </si>
  <si>
    <t>If we are haiving project life for 5 years, 05th year tax will be paid in 06th year</t>
  </si>
  <si>
    <t>Capital allowance is being given on the cost, not on the depreciable value</t>
  </si>
  <si>
    <t>Exercise 10 - IRR</t>
  </si>
  <si>
    <t>IRR</t>
  </si>
  <si>
    <t>COC / DF</t>
  </si>
  <si>
    <t>Exercise 11</t>
  </si>
  <si>
    <t>=</t>
  </si>
  <si>
    <t>+</t>
  </si>
  <si>
    <t>NPV A</t>
  </si>
  <si>
    <t>*</t>
  </si>
  <si>
    <t>B - A</t>
  </si>
  <si>
    <t>* 100</t>
  </si>
  <si>
    <t xml:space="preserve">NPV A  </t>
  </si>
  <si>
    <t>-</t>
  </si>
  <si>
    <t>NPV B</t>
  </si>
  <si>
    <t>12% - 10%</t>
  </si>
  <si>
    <t>Exercise 13</t>
  </si>
  <si>
    <t>Rs.000</t>
  </si>
  <si>
    <t>Material</t>
  </si>
  <si>
    <t>OH</t>
  </si>
  <si>
    <t>COC @ 12%</t>
  </si>
  <si>
    <t>It is recommanded to accept the project as it generates positive NPV of Rs.3,572K.</t>
  </si>
  <si>
    <t>Depreciation =( 75-15)/3 =20</t>
  </si>
  <si>
    <t>Residual value</t>
  </si>
  <si>
    <t>Operating cash flows</t>
  </si>
  <si>
    <t>(-) Tax WDV</t>
  </si>
  <si>
    <t>(+) Taxable profit on sale of machine</t>
  </si>
  <si>
    <t>Total capital allwance claimed</t>
  </si>
  <si>
    <t>Taxable profit / (loss)</t>
  </si>
  <si>
    <t>Income tax @ 28%</t>
  </si>
  <si>
    <t>Tax savings / (payments)</t>
  </si>
  <si>
    <t>NPV +</t>
  </si>
  <si>
    <t>NPV = 0</t>
  </si>
  <si>
    <t>NPV -</t>
  </si>
  <si>
    <t>COC 5%</t>
  </si>
  <si>
    <t>COC 8%</t>
  </si>
  <si>
    <t>COC 14%</t>
  </si>
  <si>
    <t>NPV Line</t>
  </si>
  <si>
    <t>IRR Can be calculated</t>
  </si>
  <si>
    <t>Graphically</t>
  </si>
  <si>
    <t>Interpolation method</t>
  </si>
  <si>
    <t>IRR = 13%</t>
  </si>
  <si>
    <t>Limitation of IRR</t>
  </si>
  <si>
    <t>Interpolation is not 100% accurate</t>
  </si>
  <si>
    <t>100% accurate IRR will be given by Excel (spredsheet)</t>
  </si>
  <si>
    <t>Conventional cash flows</t>
  </si>
  <si>
    <t>Non-Conventional cash flows</t>
  </si>
  <si>
    <t>Y0 Remove the soil</t>
  </si>
  <si>
    <t>Y1-Y4 - Extract the oil</t>
  </si>
  <si>
    <t>Y5 - Fill up the soil</t>
  </si>
  <si>
    <t>Conventional CF</t>
  </si>
  <si>
    <t>Guess rate</t>
  </si>
  <si>
    <t>Non Conventional CF</t>
  </si>
  <si>
    <t>Capital rationing means, not having adequest capital to invest</t>
  </si>
  <si>
    <t>PI</t>
  </si>
  <si>
    <t>Ranking</t>
  </si>
  <si>
    <t>You have only 90Mn</t>
  </si>
  <si>
    <t>Capital ratinoning</t>
  </si>
  <si>
    <t>Divisible Project</t>
  </si>
  <si>
    <t>You can invest part of the project and gain part of the profit</t>
  </si>
  <si>
    <t>Non divisible project</t>
  </si>
  <si>
    <t>You have to invest 100%, otherwise not profit share</t>
  </si>
  <si>
    <t>Single period</t>
  </si>
  <si>
    <t>Capital limitation only in 01 year</t>
  </si>
  <si>
    <t>Multiple period</t>
  </si>
  <si>
    <t>Capital limitation only in couple of future years</t>
  </si>
  <si>
    <t>Soft capital rationing</t>
  </si>
  <si>
    <t>Internal barriers for capital. Ex. No expert knowledge</t>
  </si>
  <si>
    <t>Hard capital rationing</t>
  </si>
  <si>
    <t>External barriers like, lending institutuion</t>
  </si>
  <si>
    <t>Divisible project single period - Use profitability index to make decision</t>
  </si>
  <si>
    <t>Non - Divisible project single period - Use profitability index and trial and error method to make decision</t>
  </si>
  <si>
    <t>Multiple period capital rationing - Linear Programing</t>
  </si>
  <si>
    <t xml:space="preserve">PI </t>
  </si>
  <si>
    <t>Profitability index is being used to rank the projects.</t>
  </si>
  <si>
    <t>NPV + Initial Investment</t>
  </si>
  <si>
    <t>PI &gt; 1</t>
  </si>
  <si>
    <t>Accept the project</t>
  </si>
  <si>
    <t>+NPV</t>
  </si>
  <si>
    <t>Initial Investment</t>
  </si>
  <si>
    <t>PI &lt; 1</t>
  </si>
  <si>
    <t>Reject the project</t>
  </si>
  <si>
    <t>-NPV</t>
  </si>
  <si>
    <t>P1</t>
  </si>
  <si>
    <t>P2</t>
  </si>
  <si>
    <t>P3</t>
  </si>
  <si>
    <t>P4</t>
  </si>
  <si>
    <t>Act. Investment</t>
  </si>
  <si>
    <t>Answer is C</t>
  </si>
  <si>
    <t>NCF -A</t>
  </si>
  <si>
    <t>COC 10%</t>
  </si>
  <si>
    <t>PV- A</t>
  </si>
  <si>
    <t>NCF -B</t>
  </si>
  <si>
    <t>PV- B</t>
  </si>
  <si>
    <t>NCF -C</t>
  </si>
  <si>
    <t>PV- C</t>
  </si>
  <si>
    <t>Return for investment</t>
  </si>
  <si>
    <t>Exercise 14 - Profitability Index</t>
  </si>
  <si>
    <t>NCF Rs.000</t>
  </si>
  <si>
    <t>PI =</t>
  </si>
  <si>
    <t>1190.15 + 5,000</t>
  </si>
  <si>
    <t>It is advised to invest in the project since it generates PI of 1.24.</t>
  </si>
  <si>
    <t>Question 1</t>
  </si>
  <si>
    <t>A)</t>
  </si>
  <si>
    <t>Purchase of New machine</t>
  </si>
  <si>
    <t>Scrap value  of new machine</t>
  </si>
  <si>
    <t>Sale proceed of old machine</t>
  </si>
  <si>
    <t>Increase in sales</t>
  </si>
  <si>
    <t>Increase in variable cost</t>
  </si>
  <si>
    <t>Increase in fixed cost</t>
  </si>
  <si>
    <t>It is assumed that fixed overhead is an incremental cost.</t>
  </si>
  <si>
    <t>Net Cash Flows</t>
  </si>
  <si>
    <t>Note – It is assumed that the fixed cost excluding the depreciation of new machine is an incremental cost as it is vague in the question.</t>
  </si>
  <si>
    <t>Workings Rs.</t>
  </si>
  <si>
    <t>Demand</t>
  </si>
  <si>
    <t>Selling price</t>
  </si>
  <si>
    <t>Variable cost</t>
  </si>
  <si>
    <t>Estimated additional fixed cost</t>
  </si>
  <si>
    <t>(-) Depreciation</t>
  </si>
  <si>
    <t xml:space="preserve">Annual depreciation </t>
  </si>
  <si>
    <t>Scrap value</t>
  </si>
  <si>
    <t>Depreciable value</t>
  </si>
  <si>
    <t>Useful life</t>
  </si>
  <si>
    <t>Annual depreciation</t>
  </si>
  <si>
    <t>i)</t>
  </si>
  <si>
    <t>COC @ 20%</t>
  </si>
  <si>
    <t>Present Value</t>
  </si>
  <si>
    <t>ii)</t>
  </si>
  <si>
    <t>NPVa</t>
  </si>
  <si>
    <t>x</t>
  </si>
  <si>
    <t>B-A</t>
  </si>
  <si>
    <t>NPVb</t>
  </si>
  <si>
    <t>20%-10%</t>
  </si>
  <si>
    <t>Working</t>
  </si>
  <si>
    <t>Decided by me</t>
  </si>
  <si>
    <t>DF</t>
  </si>
  <si>
    <t>Question 2</t>
  </si>
  <si>
    <t>Assume income tax paid 1 year in arreas</t>
  </si>
  <si>
    <t>Since the new machine is to replacement to old machine, exisitng FC has been taken as relevant</t>
  </si>
  <si>
    <t>a) &amp; c)</t>
  </si>
  <si>
    <t>Assume that 15% COC is nominal</t>
  </si>
  <si>
    <t>Purchase of machine</t>
  </si>
  <si>
    <t>Disposal of old machine</t>
  </si>
  <si>
    <t>30,000*12*125</t>
  </si>
  <si>
    <t>32,000*12*125</t>
  </si>
  <si>
    <t>38,000*12*125</t>
  </si>
  <si>
    <t>40,500*12*130</t>
  </si>
  <si>
    <t>43,000*12*130</t>
  </si>
  <si>
    <t>Variable Cost</t>
  </si>
  <si>
    <t>30,000*12*70</t>
  </si>
  <si>
    <t>32,000*12*70*1.08</t>
  </si>
  <si>
    <t>38,000*12*70*1.08^2</t>
  </si>
  <si>
    <t>40,500*12*70*1.08^3</t>
  </si>
  <si>
    <t>43,000*12*70*1.08^4</t>
  </si>
  <si>
    <t>Fixed Cost</t>
  </si>
  <si>
    <t>Service cost</t>
  </si>
  <si>
    <t>Operating Cash profit</t>
  </si>
  <si>
    <t>Working Income Tax</t>
  </si>
  <si>
    <t>Disposal Profit of old machine</t>
  </si>
  <si>
    <t>Capital allowances @ 33.33%</t>
  </si>
  <si>
    <t>Income tax saving  / (payments)</t>
  </si>
  <si>
    <t>b) Payback period</t>
  </si>
  <si>
    <t>Cum.NCF</t>
  </si>
  <si>
    <t>3Years + 463,376/14,297,414*12 months</t>
  </si>
  <si>
    <t>3 Years and 0.389 months</t>
  </si>
  <si>
    <t>Accounting Rate of Return (ARR)</t>
  </si>
  <si>
    <t>ROCE/ARR</t>
  </si>
  <si>
    <t>Average annual PBIT</t>
  </si>
  <si>
    <t>Operating CF Before tax</t>
  </si>
  <si>
    <t>Average Investment</t>
  </si>
  <si>
    <t>Total depreciation</t>
  </si>
  <si>
    <t>Total profit before tax over 5 years</t>
  </si>
  <si>
    <t>Annual profit</t>
  </si>
  <si>
    <t>Question 03</t>
  </si>
  <si>
    <t>Description</t>
  </si>
  <si>
    <t>Oppo. Cost of development work</t>
  </si>
  <si>
    <t>Rental cost</t>
  </si>
  <si>
    <t>This is from group point of view, otherwise it is Rs.1,000</t>
  </si>
  <si>
    <t>Working capital W2</t>
  </si>
  <si>
    <t>Sales W1</t>
  </si>
  <si>
    <t>Material &amp; Labour W3</t>
  </si>
  <si>
    <t>Overhead W4</t>
  </si>
  <si>
    <t>Income tax W5</t>
  </si>
  <si>
    <t>W1 - Sales</t>
  </si>
  <si>
    <t>Sales as per analysis</t>
  </si>
  <si>
    <t>Inflation</t>
  </si>
  <si>
    <t>1.05^4</t>
  </si>
  <si>
    <t>1.05^5</t>
  </si>
  <si>
    <t>Inflataed sales</t>
  </si>
  <si>
    <t>W2 - Working capital</t>
  </si>
  <si>
    <t>Original working capital</t>
  </si>
  <si>
    <t>Inflated working capital balance</t>
  </si>
  <si>
    <t>Investment in working capital</t>
  </si>
  <si>
    <t>W3 - Material &amp; labour</t>
  </si>
  <si>
    <t>Cost as per analysis</t>
  </si>
  <si>
    <t>1.1^2</t>
  </si>
  <si>
    <t>1.1^3</t>
  </si>
  <si>
    <t>1.1^4</t>
  </si>
  <si>
    <t>1.1^5</t>
  </si>
  <si>
    <t>Inflated cost</t>
  </si>
  <si>
    <t>W4 - Overhead</t>
  </si>
  <si>
    <t>OH as per the analysis</t>
  </si>
  <si>
    <t>Rent</t>
  </si>
  <si>
    <t>Depreciaiton</t>
  </si>
  <si>
    <t>(400-50)/5</t>
  </si>
  <si>
    <t>Inflated overhead cost</t>
  </si>
  <si>
    <t>W5 - Income tax</t>
  </si>
  <si>
    <t>Operating cash flow</t>
  </si>
  <si>
    <t>Real building rent</t>
  </si>
  <si>
    <t>Capital allowance</t>
  </si>
  <si>
    <t>Tax Loss</t>
  </si>
  <si>
    <t>Disposal profit of machine</t>
  </si>
  <si>
    <t>Claimes Y1</t>
  </si>
  <si>
    <t>Asseble income</t>
  </si>
  <si>
    <t>Tax losses @ 35%</t>
  </si>
  <si>
    <t>Income tax @ 12%</t>
  </si>
  <si>
    <t>Question 04</t>
  </si>
  <si>
    <t>WACC @ 10%</t>
  </si>
  <si>
    <t>1-6</t>
  </si>
  <si>
    <t>Rs.30,000*60%*1,500</t>
  </si>
  <si>
    <t>Rs.40,000*1,500</t>
  </si>
  <si>
    <t>Addi. Variable cost</t>
  </si>
  <si>
    <t>Rs.4,000*1,500</t>
  </si>
  <si>
    <t>Designer fee and commission</t>
  </si>
  <si>
    <t>Rs.60,000*20%</t>
  </si>
  <si>
    <t>Income tax cost</t>
  </si>
  <si>
    <t>Rs.15,000*28%</t>
  </si>
  <si>
    <t>Tax saving on capital allowance</t>
  </si>
  <si>
    <t>Rs.30,000/5*28%</t>
  </si>
  <si>
    <t>Tax saving on research cost</t>
  </si>
  <si>
    <t>Rs.2,000/5*28%</t>
  </si>
  <si>
    <t>Explanation purpose</t>
  </si>
  <si>
    <t>X</t>
  </si>
  <si>
    <t>X/5*28%*3.791</t>
  </si>
  <si>
    <t>Let's assume initial investment as X</t>
  </si>
  <si>
    <t>X = X/5*28%*3.791 + 47,461.38</t>
  </si>
  <si>
    <t>X =  0.212296X + 47,461.38</t>
  </si>
  <si>
    <t>X - 0.212296 = 47,461.38</t>
  </si>
  <si>
    <t>0.787704X = 47,461.38</t>
  </si>
  <si>
    <t>X = 60,252.82</t>
  </si>
  <si>
    <t>Revised investment for zero NPV</t>
  </si>
  <si>
    <t>Change Rs.</t>
  </si>
  <si>
    <t>Change %</t>
  </si>
  <si>
    <t>Annual contribution</t>
  </si>
  <si>
    <t>Y*4.355</t>
  </si>
  <si>
    <t>Y*28%*4.355</t>
  </si>
  <si>
    <t>Let's assume annual contribiton is Y</t>
  </si>
  <si>
    <t>Y*72%*4.355 = -30,000+6,368.52+424.57</t>
  </si>
  <si>
    <t>3.1356Y = -23,206.91</t>
  </si>
  <si>
    <t>Y = 23,206.91/3.1356</t>
  </si>
  <si>
    <t>Y = 7,401.10</t>
  </si>
  <si>
    <t>Annual contribution at the moment</t>
  </si>
  <si>
    <t>Annual contribution to zero NPV</t>
  </si>
  <si>
    <t>7,598.9/15,000</t>
  </si>
  <si>
    <t>Life of the project</t>
  </si>
  <si>
    <t>PBP = 2 years + 4,816/12,592*12Months</t>
  </si>
  <si>
    <t>PBP = 2 years and 4.6Months</t>
  </si>
  <si>
    <t>Life of project</t>
  </si>
  <si>
    <t>Life of project for zero NPV</t>
  </si>
  <si>
    <t>Change</t>
  </si>
  <si>
    <t>Discount rate - IRR</t>
  </si>
  <si>
    <t>WACC @ 20%</t>
  </si>
  <si>
    <t>Present WACC</t>
  </si>
  <si>
    <t>Revised WACC for zero NPV</t>
  </si>
  <si>
    <t>Question 05</t>
  </si>
  <si>
    <t>Business Matter A</t>
  </si>
  <si>
    <t>r =</t>
  </si>
  <si>
    <t>1+n</t>
  </si>
  <si>
    <t>- 1</t>
  </si>
  <si>
    <t>Company owned car option</t>
  </si>
  <si>
    <t>1+i</t>
  </si>
  <si>
    <t>Maintrnace cost</t>
  </si>
  <si>
    <t>Cash flows Rs.</t>
  </si>
  <si>
    <t>Tax saving at 28%</t>
  </si>
  <si>
    <t>Net maintenance cost</t>
  </si>
  <si>
    <t>1-4</t>
  </si>
  <si>
    <t>Fuel allowance is not considered since it is common for both option</t>
  </si>
  <si>
    <t>Payment of vehicle allowance</t>
  </si>
  <si>
    <t>Vehicle allowance</t>
  </si>
  <si>
    <t>EPF &amp; ETF</t>
  </si>
  <si>
    <t>Net vehicle allowance</t>
  </si>
  <si>
    <t>Annual allowance</t>
  </si>
  <si>
    <t>Saving on providing a vehicle allowance</t>
  </si>
  <si>
    <t>Advice - It is recommanded to provide a vehicle allowance of Rs.80,000 per month as it saves Rs.1.8Mn throughout 4 years.</t>
  </si>
  <si>
    <t xml:space="preserve">Monthly vehicle allowance, </t>
  </si>
  <si>
    <t>What would be the equiveleant value of monthly vehicle allowance instead of prodiding Rs.5Mn worth of car.</t>
  </si>
  <si>
    <t>It is assumed that monthly vehicle allowance is Rs.X.</t>
  </si>
  <si>
    <t>X*12*72%</t>
  </si>
  <si>
    <t>(X*12*72%*3.037) + (X*15%*12*72%*3.037) = 4,275,686.726</t>
  </si>
  <si>
    <t>X*15%*12*72%</t>
  </si>
  <si>
    <t>26.23968X + 3.935952X = 4,275,686.726</t>
  </si>
  <si>
    <t>30.175632X = 4,275,686.726</t>
  </si>
  <si>
    <t>X = 141,693.36</t>
  </si>
  <si>
    <t>There is no difference providing a vehicle of Rs.5Mn and monthly alowance of Rs.141,693.36</t>
  </si>
  <si>
    <t>Purchase price of a car</t>
  </si>
  <si>
    <t>Assume that purchase value of the car is Y</t>
  </si>
  <si>
    <t>Y</t>
  </si>
  <si>
    <t>Y + (-Y*40%*0.636) + (180,000*3.037) = 2,414,328.25</t>
  </si>
  <si>
    <t>Y - 0.2544Y + 546,660 = 2,414,328.25</t>
  </si>
  <si>
    <t>-Y*40%</t>
  </si>
  <si>
    <t>0.7456Y = 2,414,328.25 - 546,660</t>
  </si>
  <si>
    <t>0.7456Y = 1,867,668.25</t>
  </si>
  <si>
    <t>Y = 2,504,919.86</t>
  </si>
  <si>
    <t>There is no difference providing a monthly vehicle allowance of Rs.80,000 and purchase a car of Rs.2.Mn.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</si>
</sst>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_);_(* \(#,##0.000\);_(* &quot;-&quot;???_);_(@_)"/>
    <numFmt numFmtId="168" formatCode="0.00000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</font>
    <font>
      <sz val="8"/>
      <name val="Calibri"/>
      <family val="2"/>
      <scheme val="minor"/>
    </font>
    <font>
      <sz val="16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u val="double"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4" fillId="0" borderId="0" xfId="0" applyFont="1"/>
    <xf numFmtId="9" fontId="0" fillId="0" borderId="0" xfId="0" applyNumberFormat="1"/>
    <xf numFmtId="10" fontId="0" fillId="0" borderId="0" xfId="0" applyNumberFormat="1"/>
    <xf numFmtId="9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43" fontId="0" fillId="0" borderId="1" xfId="0" applyNumberFormat="1" applyBorder="1"/>
    <xf numFmtId="43" fontId="2" fillId="0" borderId="2" xfId="0" applyNumberFormat="1" applyFont="1" applyBorder="1"/>
    <xf numFmtId="0" fontId="0" fillId="0" borderId="0" xfId="0" applyAlignment="1">
      <alignment horizontal="left"/>
    </xf>
    <xf numFmtId="43" fontId="0" fillId="0" borderId="1" xfId="1" applyFont="1" applyBorder="1"/>
    <xf numFmtId="9" fontId="0" fillId="0" borderId="0" xfId="2" applyFont="1"/>
    <xf numFmtId="10" fontId="2" fillId="0" borderId="3" xfId="2" applyNumberFormat="1" applyFont="1" applyBorder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6" fillId="0" borderId="0" xfId="0" applyFont="1"/>
    <xf numFmtId="43" fontId="6" fillId="0" borderId="0" xfId="1" applyFont="1"/>
    <xf numFmtId="0" fontId="7" fillId="0" borderId="0" xfId="0" applyFont="1"/>
    <xf numFmtId="0" fontId="3" fillId="0" borderId="0" xfId="0" applyFont="1" applyAlignment="1">
      <alignment horizontal="right"/>
    </xf>
    <xf numFmtId="0" fontId="8" fillId="0" borderId="0" xfId="0" applyFont="1"/>
    <xf numFmtId="0" fontId="0" fillId="2" borderId="0" xfId="0" applyFill="1"/>
    <xf numFmtId="43" fontId="9" fillId="0" borderId="0" xfId="1" applyFont="1"/>
    <xf numFmtId="43" fontId="10" fillId="0" borderId="0" xfId="1" applyFont="1"/>
    <xf numFmtId="0" fontId="11" fillId="0" borderId="0" xfId="0" applyFont="1"/>
    <xf numFmtId="0" fontId="12" fillId="0" borderId="0" xfId="0" applyFont="1"/>
    <xf numFmtId="164" fontId="0" fillId="0" borderId="0" xfId="1" applyNumberFormat="1" applyFont="1"/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3" fontId="0" fillId="0" borderId="2" xfId="0" applyNumberFormat="1" applyBorder="1"/>
    <xf numFmtId="16" fontId="0" fillId="0" borderId="0" xfId="0" quotePrefix="1" applyNumberFormat="1" applyAlignment="1">
      <alignment horizontal="left"/>
    </xf>
    <xf numFmtId="165" fontId="0" fillId="2" borderId="0" xfId="1" applyNumberFormat="1" applyFont="1" applyFill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5" fontId="0" fillId="3" borderId="0" xfId="1" applyNumberFormat="1" applyFont="1" applyFill="1"/>
    <xf numFmtId="165" fontId="2" fillId="2" borderId="0" xfId="0" applyNumberFormat="1" applyFont="1" applyFill="1"/>
    <xf numFmtId="0" fontId="0" fillId="0" borderId="2" xfId="0" applyBorder="1"/>
    <xf numFmtId="43" fontId="2" fillId="0" borderId="0" xfId="1" applyFont="1"/>
    <xf numFmtId="0" fontId="2" fillId="2" borderId="0" xfId="0" applyFont="1" applyFill="1"/>
    <xf numFmtId="0" fontId="16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43" fontId="0" fillId="0" borderId="0" xfId="1" applyFont="1" applyAlignment="1">
      <alignment horizontal="right"/>
    </xf>
    <xf numFmtId="10" fontId="7" fillId="0" borderId="0" xfId="2" applyNumberFormat="1" applyFont="1"/>
    <xf numFmtId="10" fontId="17" fillId="0" borderId="0" xfId="2" applyNumberFormat="1" applyFont="1"/>
    <xf numFmtId="9" fontId="17" fillId="0" borderId="0" xfId="2" applyFont="1"/>
    <xf numFmtId="0" fontId="2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2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167" fontId="0" fillId="0" borderId="0" xfId="0" applyNumberFormat="1"/>
    <xf numFmtId="0" fontId="3" fillId="0" borderId="0" xfId="0" applyFont="1" applyAlignment="1">
      <alignment horizontal="right" wrapText="1"/>
    </xf>
    <xf numFmtId="167" fontId="3" fillId="0" borderId="2" xfId="0" applyNumberFormat="1" applyFont="1" applyBorder="1"/>
    <xf numFmtId="165" fontId="3" fillId="0" borderId="2" xfId="1" applyNumberFormat="1" applyFont="1" applyBorder="1"/>
    <xf numFmtId="0" fontId="18" fillId="0" borderId="0" xfId="0" applyFont="1"/>
    <xf numFmtId="43" fontId="18" fillId="0" borderId="2" xfId="0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4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43" fontId="0" fillId="0" borderId="0" xfId="1" applyFont="1" applyAlignment="1">
      <alignment wrapText="1"/>
    </xf>
    <xf numFmtId="0" fontId="0" fillId="6" borderId="0" xfId="0" applyFill="1"/>
    <xf numFmtId="0" fontId="0" fillId="0" borderId="0" xfId="0" quotePrefix="1"/>
    <xf numFmtId="0" fontId="0" fillId="0" borderId="0" xfId="0" quotePrefix="1" applyAlignment="1">
      <alignment horizontal="center"/>
    </xf>
    <xf numFmtId="3" fontId="0" fillId="0" borderId="0" xfId="0" applyNumberFormat="1"/>
    <xf numFmtId="43" fontId="0" fillId="0" borderId="0" xfId="1" quotePrefix="1" applyFont="1"/>
    <xf numFmtId="166" fontId="0" fillId="0" borderId="0" xfId="0" applyNumberFormat="1"/>
    <xf numFmtId="0" fontId="2" fillId="0" borderId="0" xfId="0" applyFont="1" applyAlignment="1">
      <alignment horizontal="right" wrapText="1"/>
    </xf>
    <xf numFmtId="40" fontId="0" fillId="0" borderId="0" xfId="0" applyNumberFormat="1"/>
    <xf numFmtId="0" fontId="21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9" xfId="0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164" fontId="21" fillId="0" borderId="13" xfId="1" applyNumberFormat="1" applyFont="1" applyBorder="1" applyAlignment="1">
      <alignment horizontal="right" vertical="center"/>
    </xf>
    <xf numFmtId="164" fontId="0" fillId="0" borderId="13" xfId="1" applyNumberFormat="1" applyFont="1" applyBorder="1"/>
    <xf numFmtId="0" fontId="21" fillId="0" borderId="14" xfId="0" applyFont="1" applyBorder="1" applyAlignment="1">
      <alignment vertical="center"/>
    </xf>
    <xf numFmtId="164" fontId="0" fillId="0" borderId="14" xfId="1" applyNumberFormat="1" applyFont="1" applyBorder="1"/>
    <xf numFmtId="164" fontId="21" fillId="0" borderId="14" xfId="1" applyNumberFormat="1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64" fontId="21" fillId="0" borderId="15" xfId="1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164" fontId="24" fillId="0" borderId="14" xfId="1" applyNumberFormat="1" applyFont="1" applyBorder="1" applyAlignment="1">
      <alignment horizontal="right" vertical="center"/>
    </xf>
    <xf numFmtId="164" fontId="24" fillId="0" borderId="15" xfId="1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3" fontId="21" fillId="2" borderId="15" xfId="0" applyNumberFormat="1" applyFont="1" applyFill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0" fillId="0" borderId="11" xfId="0" applyBorder="1"/>
    <xf numFmtId="165" fontId="21" fillId="0" borderId="13" xfId="1" applyNumberFormat="1" applyFont="1" applyBorder="1" applyAlignment="1">
      <alignment horizontal="right" vertical="center"/>
    </xf>
    <xf numFmtId="165" fontId="21" fillId="0" borderId="14" xfId="1" applyNumberFormat="1" applyFont="1" applyBorder="1" applyAlignment="1">
      <alignment horizontal="right" vertical="center"/>
    </xf>
    <xf numFmtId="0" fontId="0" fillId="0" borderId="15" xfId="0" applyBorder="1"/>
    <xf numFmtId="10" fontId="2" fillId="7" borderId="0" xfId="0" applyNumberFormat="1" applyFont="1" applyFill="1"/>
    <xf numFmtId="0" fontId="19" fillId="0" borderId="0" xfId="0" applyFont="1"/>
    <xf numFmtId="0" fontId="20" fillId="0" borderId="0" xfId="0" applyFont="1"/>
    <xf numFmtId="165" fontId="20" fillId="0" borderId="0" xfId="0" applyNumberFormat="1" applyFont="1"/>
    <xf numFmtId="0" fontId="26" fillId="0" borderId="0" xfId="0" applyFont="1"/>
    <xf numFmtId="43" fontId="6" fillId="0" borderId="0" xfId="1" applyFont="1" applyFill="1"/>
    <xf numFmtId="0" fontId="6" fillId="0" borderId="1" xfId="0" applyFont="1" applyBorder="1"/>
    <xf numFmtId="164" fontId="6" fillId="0" borderId="0" xfId="1" applyNumberFormat="1" applyFont="1" applyFill="1"/>
    <xf numFmtId="0" fontId="6" fillId="0" borderId="0" xfId="0" applyFont="1" applyAlignment="1">
      <alignment horizontal="right"/>
    </xf>
    <xf numFmtId="164" fontId="6" fillId="0" borderId="1" xfId="1" applyNumberFormat="1" applyFont="1" applyFill="1" applyBorder="1"/>
    <xf numFmtId="43" fontId="6" fillId="0" borderId="0" xfId="0" applyNumberFormat="1" applyFont="1"/>
    <xf numFmtId="43" fontId="6" fillId="0" borderId="1" xfId="0" applyNumberFormat="1" applyFont="1" applyBorder="1"/>
    <xf numFmtId="166" fontId="6" fillId="0" borderId="0" xfId="1" applyNumberFormat="1" applyFont="1" applyFill="1"/>
    <xf numFmtId="164" fontId="26" fillId="0" borderId="3" xfId="1" applyNumberFormat="1" applyFont="1" applyFill="1" applyBorder="1"/>
    <xf numFmtId="164" fontId="6" fillId="0" borderId="0" xfId="0" applyNumberFormat="1" applyFont="1"/>
    <xf numFmtId="0" fontId="2" fillId="0" borderId="0" xfId="0" applyFont="1" applyAlignment="1">
      <alignment horizontal="right"/>
    </xf>
    <xf numFmtId="43" fontId="6" fillId="0" borderId="1" xfId="1" applyFont="1" applyFill="1" applyBorder="1"/>
    <xf numFmtId="0" fontId="26" fillId="0" borderId="0" xfId="0" applyFont="1" applyAlignment="1">
      <alignment horizontal="right"/>
    </xf>
    <xf numFmtId="0" fontId="26" fillId="0" borderId="3" xfId="0" applyFont="1" applyBorder="1"/>
    <xf numFmtId="0" fontId="6" fillId="0" borderId="0" xfId="0" quotePrefix="1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3" xfId="2" applyNumberFormat="1" applyFont="1" applyFill="1" applyBorder="1"/>
    <xf numFmtId="43" fontId="0" fillId="0" borderId="0" xfId="1" applyFont="1" applyAlignment="1">
      <alignment horizontal="center"/>
    </xf>
    <xf numFmtId="43" fontId="10" fillId="0" borderId="0" xfId="0" applyNumberFormat="1" applyFont="1"/>
    <xf numFmtId="4" fontId="5" fillId="0" borderId="0" xfId="0" applyNumberFormat="1" applyFont="1"/>
    <xf numFmtId="43" fontId="0" fillId="0" borderId="2" xfId="1" applyFont="1" applyBorder="1"/>
    <xf numFmtId="43" fontId="0" fillId="0" borderId="16" xfId="1" applyFont="1" applyBorder="1"/>
    <xf numFmtId="168" fontId="0" fillId="0" borderId="0" xfId="0" applyNumberFormat="1"/>
    <xf numFmtId="43" fontId="5" fillId="0" borderId="0" xfId="1" applyFont="1" applyAlignment="1">
      <alignment horizontal="center"/>
    </xf>
    <xf numFmtId="43" fontId="0" fillId="0" borderId="0" xfId="1" applyFont="1" applyAlignment="1">
      <alignment horizontal="right" indent="1"/>
    </xf>
    <xf numFmtId="0" fontId="0" fillId="0" borderId="0" xfId="0" applyAlignment="1">
      <alignment horizontal="right" indent="1"/>
    </xf>
    <xf numFmtId="43" fontId="0" fillId="0" borderId="0" xfId="0" applyNumberFormat="1" applyAlignment="1">
      <alignment horizontal="right"/>
    </xf>
    <xf numFmtId="167" fontId="18" fillId="0" borderId="2" xfId="0" applyNumberFormat="1" applyFont="1" applyBorder="1"/>
    <xf numFmtId="165" fontId="0" fillId="0" borderId="1" xfId="1" applyNumberFormat="1" applyFont="1" applyBorder="1"/>
    <xf numFmtId="9" fontId="3" fillId="0" borderId="3" xfId="2" applyFont="1" applyBorder="1"/>
    <xf numFmtId="169" fontId="0" fillId="0" borderId="0" xfId="0" applyNumberFormat="1"/>
    <xf numFmtId="167" fontId="18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43" fontId="0" fillId="0" borderId="0" xfId="1" applyFont="1" applyAlignment="1"/>
    <xf numFmtId="43" fontId="0" fillId="0" borderId="0" xfId="1" quotePrefix="1" applyFont="1" applyAlignment="1"/>
    <xf numFmtId="16" fontId="0" fillId="0" borderId="0" xfId="0" applyNumberFormat="1"/>
    <xf numFmtId="16" fontId="0" fillId="0" borderId="0" xfId="0" quotePrefix="1" applyNumberFormat="1"/>
    <xf numFmtId="43" fontId="3" fillId="0" borderId="2" xfId="0" applyNumberFormat="1" applyFont="1" applyBorder="1"/>
    <xf numFmtId="43" fontId="0" fillId="2" borderId="0" xfId="0" applyNumberFormat="1" applyFill="1"/>
    <xf numFmtId="43" fontId="0" fillId="2" borderId="0" xfId="0" applyNumberFormat="1" applyFill="1" applyAlignment="1">
      <alignment horizontal="center"/>
    </xf>
    <xf numFmtId="10" fontId="0" fillId="0" borderId="0" xfId="2" applyNumberFormat="1" applyFont="1"/>
    <xf numFmtId="10" fontId="18" fillId="0" borderId="2" xfId="2" applyNumberFormat="1" applyFont="1" applyBorder="1"/>
    <xf numFmtId="9" fontId="2" fillId="0" borderId="2" xfId="2" applyFont="1" applyBorder="1"/>
    <xf numFmtId="10" fontId="31" fillId="0" borderId="0" xfId="0" applyNumberFormat="1" applyFont="1" applyAlignment="1">
      <alignment horizontal="center" vertical="center"/>
    </xf>
    <xf numFmtId="10" fontId="2" fillId="0" borderId="2" xfId="2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43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IRR!$F$52</c:f>
              <c:strCache>
                <c:ptCount val="1"/>
                <c:pt idx="0">
                  <c:v>COC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IRR!$F$53:$F$69</c:f>
              <c:numCache>
                <c:formatCode>0%</c:formatCode>
                <c:ptCount val="1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C1-4C79-A74A-DAAB8CBF1CDA}"/>
            </c:ext>
          </c:extLst>
        </c:ser>
        <c:ser>
          <c:idx val="1"/>
          <c:order val="1"/>
          <c:tx>
            <c:strRef>
              <c:f>IRR!$G$52</c:f>
              <c:strCache>
                <c:ptCount val="1"/>
                <c:pt idx="0">
                  <c:v>NPV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IRR!$G$53:$G$69</c:f>
              <c:numCache>
                <c:formatCode>#,##0.00_);[Red]\(#,##0.00\)</c:formatCode>
                <c:ptCount val="17"/>
                <c:pt idx="0">
                  <c:v>-31250</c:v>
                </c:pt>
                <c:pt idx="1">
                  <c:v>-6679.101992889613</c:v>
                </c:pt>
                <c:pt idx="2">
                  <c:v>10726.118006053954</c:v>
                </c:pt>
                <c:pt idx="3">
                  <c:v>22478.120781283251</c:v>
                </c:pt>
                <c:pt idx="4">
                  <c:v>29783.030301204522</c:v>
                </c:pt>
                <c:pt idx="5">
                  <c:v>33604.063155190612</c:v>
                </c:pt>
                <c:pt idx="6">
                  <c:v>34711.277505173501</c:v>
                </c:pt>
                <c:pt idx="7">
                  <c:v>33720.731611970477</c:v>
                </c:pt>
                <c:pt idx="8">
                  <c:v>31125.410639241607</c:v>
                </c:pt>
                <c:pt idx="9">
                  <c:v>27319.730220509296</c:v>
                </c:pt>
                <c:pt idx="10">
                  <c:v>22619.009344993101</c:v>
                </c:pt>
                <c:pt idx="11">
                  <c:v>17274.989250508428</c:v>
                </c:pt>
                <c:pt idx="12">
                  <c:v>11488.234069872688</c:v>
                </c:pt>
                <c:pt idx="13">
                  <c:v>5418.0644043830516</c:v>
                </c:pt>
                <c:pt idx="14">
                  <c:v>-809.4669738057064</c:v>
                </c:pt>
                <c:pt idx="15">
                  <c:v>-7095.1577230104322</c:v>
                </c:pt>
                <c:pt idx="16">
                  <c:v>-13361.482254022429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C1-4C79-A74A-DAAB8CBF1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728448"/>
        <c:axId val="418732760"/>
      </c:lineChart>
      <c:catAx>
        <c:axId val="418728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32760"/>
        <c:crosses val="autoZero"/>
        <c:auto val="1"/>
        <c:lblAlgn val="ctr"/>
        <c:lblOffset val="100"/>
        <c:noMultiLvlLbl val="0"/>
      </c:catAx>
      <c:valAx>
        <c:axId val="41873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2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19050</xdr:rowOff>
    </xdr:from>
    <xdr:to>
      <xdr:col>3</xdr:col>
      <xdr:colOff>180975</xdr:colOff>
      <xdr:row>4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7F400179-D3B3-E8FD-D217-9B355296B42C}"/>
            </a:ext>
          </a:extLst>
        </xdr:cNvPr>
        <xdr:cNvCxnSpPr/>
      </xdr:nvCxnSpPr>
      <xdr:spPr>
        <a:xfrm flipH="1">
          <a:off x="1476375" y="590550"/>
          <a:ext cx="5334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238125</xdr:colOff>
      <xdr:row>3</xdr:row>
      <xdr:rowOff>180975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531E7EC1-1EA8-4834-9718-1C50BB8FA72F}"/>
            </a:ext>
          </a:extLst>
        </xdr:cNvPr>
        <xdr:cNvCxnSpPr/>
      </xdr:nvCxnSpPr>
      <xdr:spPr>
        <a:xfrm>
          <a:off x="2486025" y="552450"/>
          <a:ext cx="323850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</xdr:row>
      <xdr:rowOff>85725</xdr:rowOff>
    </xdr:from>
    <xdr:to>
      <xdr:col>8</xdr:col>
      <xdr:colOff>600075</xdr:colOff>
      <xdr:row>2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55648E53-2EEE-8F04-AC56-021338641512}"/>
            </a:ext>
          </a:extLst>
        </xdr:cNvPr>
        <xdr:cNvCxnSpPr/>
      </xdr:nvCxnSpPr>
      <xdr:spPr>
        <a:xfrm flipV="1">
          <a:off x="2562225" y="466725"/>
          <a:ext cx="40195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5</xdr:row>
      <xdr:rowOff>0</xdr:rowOff>
    </xdr:from>
    <xdr:to>
      <xdr:col>5</xdr:col>
      <xdr:colOff>9525</xdr:colOff>
      <xdr:row>5</xdr:row>
      <xdr:rowOff>180975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702FE214-0BDC-4D2E-BB79-A7C0B132DA61}"/>
            </a:ext>
          </a:extLst>
        </xdr:cNvPr>
        <xdr:cNvCxnSpPr/>
      </xdr:nvCxnSpPr>
      <xdr:spPr>
        <a:xfrm flipH="1">
          <a:off x="2657475" y="952500"/>
          <a:ext cx="53340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5</xdr:row>
      <xdr:rowOff>28575</xdr:rowOff>
    </xdr:from>
    <xdr:to>
      <xdr:col>6</xdr:col>
      <xdr:colOff>85725</xdr:colOff>
      <xdr:row>6</xdr:row>
      <xdr:rowOff>38100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xmlns="" id="{F3A8B91D-7D41-43B4-A06D-8A382AFEA9B4}"/>
            </a:ext>
          </a:extLst>
        </xdr:cNvPr>
        <xdr:cNvCxnSpPr/>
      </xdr:nvCxnSpPr>
      <xdr:spPr>
        <a:xfrm>
          <a:off x="3971925" y="981075"/>
          <a:ext cx="695325" cy="200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6</xdr:row>
      <xdr:rowOff>114300</xdr:rowOff>
    </xdr:from>
    <xdr:to>
      <xdr:col>8</xdr:col>
      <xdr:colOff>590550</xdr:colOff>
      <xdr:row>6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0F8A5FB7-AA31-406D-98E9-B96E3F10CD91}"/>
            </a:ext>
          </a:extLst>
        </xdr:cNvPr>
        <xdr:cNvCxnSpPr/>
      </xdr:nvCxnSpPr>
      <xdr:spPr>
        <a:xfrm>
          <a:off x="5781675" y="1257300"/>
          <a:ext cx="790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2</xdr:row>
      <xdr:rowOff>171450</xdr:rowOff>
    </xdr:from>
    <xdr:to>
      <xdr:col>9</xdr:col>
      <xdr:colOff>295275</xdr:colOff>
      <xdr:row>6</xdr:row>
      <xdr:rowOff>19050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60196FB7-26B8-42A1-85B1-C6DC7FC44545}"/>
            </a:ext>
          </a:extLst>
        </xdr:cNvPr>
        <xdr:cNvCxnSpPr/>
      </xdr:nvCxnSpPr>
      <xdr:spPr>
        <a:xfrm>
          <a:off x="6886575" y="552450"/>
          <a:ext cx="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7</xdr:row>
      <xdr:rowOff>0</xdr:rowOff>
    </xdr:from>
    <xdr:to>
      <xdr:col>9</xdr:col>
      <xdr:colOff>238125</xdr:colOff>
      <xdr:row>9</xdr:row>
      <xdr:rowOff>142875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E5F1772E-297D-4794-A2E7-A499BA2F9A24}"/>
            </a:ext>
          </a:extLst>
        </xdr:cNvPr>
        <xdr:cNvCxnSpPr/>
      </xdr:nvCxnSpPr>
      <xdr:spPr>
        <a:xfrm flipH="1">
          <a:off x="5800725" y="1333500"/>
          <a:ext cx="1028700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7</xdr:row>
      <xdr:rowOff>0</xdr:rowOff>
    </xdr:from>
    <xdr:to>
      <xdr:col>11</xdr:col>
      <xdr:colOff>352425</xdr:colOff>
      <xdr:row>9</xdr:row>
      <xdr:rowOff>95250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F1D3F9DA-853B-4522-AF37-84548735BC0A}"/>
            </a:ext>
          </a:extLst>
        </xdr:cNvPr>
        <xdr:cNvCxnSpPr/>
      </xdr:nvCxnSpPr>
      <xdr:spPr>
        <a:xfrm>
          <a:off x="6924675" y="1333500"/>
          <a:ext cx="123825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571500</xdr:colOff>
      <xdr:row>11</xdr:row>
      <xdr:rowOff>28575</xdr:rowOff>
    </xdr:from>
    <xdr:to>
      <xdr:col>7</xdr:col>
      <xdr:colOff>371475</xdr:colOff>
      <xdr:row>13</xdr:row>
      <xdr:rowOff>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CA5C4B61-23EE-408F-A4C0-44B7AA2687F4}"/>
            </a:ext>
          </a:extLst>
        </xdr:cNvPr>
        <xdr:cNvCxnSpPr/>
      </xdr:nvCxnSpPr>
      <xdr:spPr>
        <a:xfrm flipH="1">
          <a:off x="5153025" y="2124075"/>
          <a:ext cx="5905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11</xdr:row>
      <xdr:rowOff>38100</xdr:rowOff>
    </xdr:from>
    <xdr:to>
      <xdr:col>9</xdr:col>
      <xdr:colOff>123825</xdr:colOff>
      <xdr:row>12</xdr:row>
      <xdr:rowOff>152400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54CA0C3A-191F-4499-88D5-3D3D37F60EAC}"/>
            </a:ext>
          </a:extLst>
        </xdr:cNvPr>
        <xdr:cNvCxnSpPr/>
      </xdr:nvCxnSpPr>
      <xdr:spPr>
        <a:xfrm>
          <a:off x="6210300" y="2133600"/>
          <a:ext cx="5048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9525</xdr:rowOff>
    </xdr:from>
    <xdr:to>
      <xdr:col>12</xdr:col>
      <xdr:colOff>0</xdr:colOff>
      <xdr:row>15</xdr:row>
      <xdr:rowOff>85725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xmlns="" id="{9130B070-28F7-4EDB-A7F0-0AB58180EC85}"/>
            </a:ext>
          </a:extLst>
        </xdr:cNvPr>
        <xdr:cNvCxnSpPr/>
      </xdr:nvCxnSpPr>
      <xdr:spPr>
        <a:xfrm>
          <a:off x="8420100" y="2105025"/>
          <a:ext cx="0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15</xdr:row>
      <xdr:rowOff>28575</xdr:rowOff>
    </xdr:from>
    <xdr:to>
      <xdr:col>12</xdr:col>
      <xdr:colOff>104775</xdr:colOff>
      <xdr:row>17</xdr:row>
      <xdr:rowOff>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22481169-F4CD-41E2-8393-AA40D0352F43}"/>
            </a:ext>
          </a:extLst>
        </xdr:cNvPr>
        <xdr:cNvCxnSpPr/>
      </xdr:nvCxnSpPr>
      <xdr:spPr>
        <a:xfrm flipH="1">
          <a:off x="7934325" y="2886075"/>
          <a:ext cx="5905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428625</xdr:colOff>
      <xdr:row>15</xdr:row>
      <xdr:rowOff>19050</xdr:rowOff>
    </xdr:from>
    <xdr:to>
      <xdr:col>13</xdr:col>
      <xdr:colOff>333375</xdr:colOff>
      <xdr:row>16</xdr:row>
      <xdr:rowOff>171450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7AB44FC6-998F-4A5D-A0E0-72D1A5D3AA01}"/>
            </a:ext>
          </a:extLst>
        </xdr:cNvPr>
        <xdr:cNvCxnSpPr/>
      </xdr:nvCxnSpPr>
      <xdr:spPr>
        <a:xfrm>
          <a:off x="8848725" y="2876550"/>
          <a:ext cx="514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15</xdr:row>
      <xdr:rowOff>28575</xdr:rowOff>
    </xdr:from>
    <xdr:to>
      <xdr:col>16</xdr:col>
      <xdr:colOff>257175</xdr:colOff>
      <xdr:row>16</xdr:row>
      <xdr:rowOff>171450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A8F0C9EC-2691-42B8-81BA-86DFCC9EC586}"/>
            </a:ext>
          </a:extLst>
        </xdr:cNvPr>
        <xdr:cNvCxnSpPr/>
      </xdr:nvCxnSpPr>
      <xdr:spPr>
        <a:xfrm>
          <a:off x="9572625" y="2886075"/>
          <a:ext cx="1543050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14</xdr:row>
      <xdr:rowOff>161925</xdr:rowOff>
    </xdr:from>
    <xdr:to>
      <xdr:col>18</xdr:col>
      <xdr:colOff>409575</xdr:colOff>
      <xdr:row>17</xdr:row>
      <xdr:rowOff>9525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xmlns="" id="{7E75DCB9-9273-4E21-B26E-5F1D2A97494C}"/>
            </a:ext>
          </a:extLst>
        </xdr:cNvPr>
        <xdr:cNvCxnSpPr/>
      </xdr:nvCxnSpPr>
      <xdr:spPr>
        <a:xfrm>
          <a:off x="9696450" y="2828925"/>
          <a:ext cx="27908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17</xdr:row>
      <xdr:rowOff>161925</xdr:rowOff>
    </xdr:from>
    <xdr:to>
      <xdr:col>10</xdr:col>
      <xdr:colOff>0</xdr:colOff>
      <xdr:row>24</xdr:row>
      <xdr:rowOff>9525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xmlns="" id="{B0BB35A4-88D0-4786-9239-E50A43801E7D}"/>
            </a:ext>
          </a:extLst>
        </xdr:cNvPr>
        <xdr:cNvCxnSpPr/>
      </xdr:nvCxnSpPr>
      <xdr:spPr>
        <a:xfrm flipH="1">
          <a:off x="7191375" y="3400425"/>
          <a:ext cx="9525" cy="1181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390524</xdr:colOff>
      <xdr:row>19</xdr:row>
      <xdr:rowOff>114300</xdr:rowOff>
    </xdr:to>
    <xdr:sp macro="" textlink="">
      <xdr:nvSpPr>
        <xdr:cNvPr id="20" name="Rectangle 19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600074</xdr:colOff>
      <xdr:row>19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314324</xdr:colOff>
      <xdr:row>19</xdr:row>
      <xdr:rowOff>19050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3</xdr:row>
      <xdr:rowOff>28575</xdr:rowOff>
    </xdr:from>
    <xdr:to>
      <xdr:col>17</xdr:col>
      <xdr:colOff>123825</xdr:colOff>
      <xdr:row>4</xdr:row>
      <xdr:rowOff>180975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xmlns="" id="{661DC1EE-D642-EA35-F8F2-8DFA83D0C423}"/>
            </a:ext>
          </a:extLst>
        </xdr:cNvPr>
        <xdr:cNvSpPr/>
      </xdr:nvSpPr>
      <xdr:spPr>
        <a:xfrm>
          <a:off x="5076825" y="600075"/>
          <a:ext cx="5619750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533399</xdr:colOff>
      <xdr:row>18</xdr:row>
      <xdr:rowOff>133350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361949</xdr:colOff>
      <xdr:row>18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38099</xdr:colOff>
      <xdr:row>19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16</xdr:row>
      <xdr:rowOff>142875</xdr:rowOff>
    </xdr:from>
    <xdr:to>
      <xdr:col>3</xdr:col>
      <xdr:colOff>314325</xdr:colOff>
      <xdr:row>21</xdr:row>
      <xdr:rowOff>133350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926217E7-BF69-B1BD-686E-80B179D5BF41}"/>
            </a:ext>
          </a:extLst>
        </xdr:cNvPr>
        <xdr:cNvSpPr/>
      </xdr:nvSpPr>
      <xdr:spPr>
        <a:xfrm>
          <a:off x="2066925" y="3209925"/>
          <a:ext cx="990600" cy="942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/>
            <a:t>A</a:t>
          </a:r>
        </a:p>
      </xdr:txBody>
    </xdr:sp>
    <xdr:clientData/>
  </xdr:twoCellAnchor>
  <xdr:twoCellAnchor>
    <xdr:from>
      <xdr:col>4</xdr:col>
      <xdr:colOff>933451</xdr:colOff>
      <xdr:row>16</xdr:row>
      <xdr:rowOff>152400</xdr:rowOff>
    </xdr:from>
    <xdr:to>
      <xdr:col>5</xdr:col>
      <xdr:colOff>47626</xdr:colOff>
      <xdr:row>21</xdr:row>
      <xdr:rowOff>142875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17459C0E-8AF4-4613-9097-8B36F1E74C75}"/>
            </a:ext>
          </a:extLst>
        </xdr:cNvPr>
        <xdr:cNvSpPr/>
      </xdr:nvSpPr>
      <xdr:spPr>
        <a:xfrm>
          <a:off x="4286251" y="3219450"/>
          <a:ext cx="971550" cy="942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/>
            <a:t>B</a:t>
          </a:r>
        </a:p>
      </xdr:txBody>
    </xdr:sp>
    <xdr:clientData/>
  </xdr:twoCellAnchor>
  <xdr:twoCellAnchor>
    <xdr:from>
      <xdr:col>6</xdr:col>
      <xdr:colOff>466726</xdr:colOff>
      <xdr:row>16</xdr:row>
      <xdr:rowOff>95250</xdr:rowOff>
    </xdr:from>
    <xdr:to>
      <xdr:col>8</xdr:col>
      <xdr:colOff>9526</xdr:colOff>
      <xdr:row>21</xdr:row>
      <xdr:rowOff>85725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B16E60E5-8F61-49D4-8642-77A506188798}"/>
            </a:ext>
          </a:extLst>
        </xdr:cNvPr>
        <xdr:cNvSpPr/>
      </xdr:nvSpPr>
      <xdr:spPr>
        <a:xfrm>
          <a:off x="6286501" y="3162300"/>
          <a:ext cx="971550" cy="942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/>
            <a:t>AB</a:t>
          </a:r>
        </a:p>
      </xdr:txBody>
    </xdr:sp>
    <xdr:clientData/>
  </xdr:twoCellAnchor>
  <xdr:twoCellAnchor>
    <xdr:from>
      <xdr:col>4</xdr:col>
      <xdr:colOff>1362075</xdr:colOff>
      <xdr:row>29</xdr:row>
      <xdr:rowOff>0</xdr:rowOff>
    </xdr:from>
    <xdr:to>
      <xdr:col>4</xdr:col>
      <xdr:colOff>1676400</xdr:colOff>
      <xdr:row>31</xdr:row>
      <xdr:rowOff>171450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xmlns="" id="{BDCF2760-FB70-E632-40EF-3297D92F719D}"/>
            </a:ext>
          </a:extLst>
        </xdr:cNvPr>
        <xdr:cNvSpPr/>
      </xdr:nvSpPr>
      <xdr:spPr>
        <a:xfrm>
          <a:off x="4714875" y="5543550"/>
          <a:ext cx="314325" cy="5524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342899</xdr:colOff>
      <xdr:row>19</xdr:row>
      <xdr:rowOff>95250</xdr:rowOff>
    </xdr:to>
    <xdr:sp macro="" textlink="">
      <xdr:nvSpPr>
        <xdr:cNvPr id="6" name="Rectangle 5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180975</xdr:rowOff>
    </xdr:from>
    <xdr:to>
      <xdr:col>2</xdr:col>
      <xdr:colOff>9525</xdr:colOff>
      <xdr:row>18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D24D0322-DD7C-140C-48A1-F742436A7B6D}"/>
            </a:ext>
          </a:extLst>
        </xdr:cNvPr>
        <xdr:cNvCxnSpPr/>
      </xdr:nvCxnSpPr>
      <xdr:spPr>
        <a:xfrm>
          <a:off x="1228725" y="561975"/>
          <a:ext cx="0" cy="28956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9</xdr:row>
      <xdr:rowOff>180975</xdr:rowOff>
    </xdr:from>
    <xdr:to>
      <xdr:col>10</xdr:col>
      <xdr:colOff>9525</xdr:colOff>
      <xdr:row>10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68634F02-6770-40AA-B3AA-82154B52A0AA}"/>
            </a:ext>
          </a:extLst>
        </xdr:cNvPr>
        <xdr:cNvCxnSpPr/>
      </xdr:nvCxnSpPr>
      <xdr:spPr>
        <a:xfrm flipH="1">
          <a:off x="1333500" y="1895475"/>
          <a:ext cx="4848225" cy="190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3</xdr:row>
      <xdr:rowOff>161925</xdr:rowOff>
    </xdr:from>
    <xdr:to>
      <xdr:col>6</xdr:col>
      <xdr:colOff>66675</xdr:colOff>
      <xdr:row>4</xdr:row>
      <xdr:rowOff>95250</xdr:rowOff>
    </xdr:to>
    <xdr:sp macro="" textlink="">
      <xdr:nvSpPr>
        <xdr:cNvPr id="13" name="Star: 5 Points 12">
          <a:extLst>
            <a:ext uri="{FF2B5EF4-FFF2-40B4-BE49-F238E27FC236}">
              <a16:creationId xmlns:a16="http://schemas.microsoft.com/office/drawing/2014/main" xmlns="" id="{68CEBF30-B6DA-8684-2EFF-C5BF6305A7A3}"/>
            </a:ext>
          </a:extLst>
        </xdr:cNvPr>
        <xdr:cNvSpPr/>
      </xdr:nvSpPr>
      <xdr:spPr>
        <a:xfrm>
          <a:off x="3657600" y="733425"/>
          <a:ext cx="142875" cy="123825"/>
        </a:xfrm>
        <a:prstGeom prst="star5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542925</xdr:colOff>
      <xdr:row>8</xdr:row>
      <xdr:rowOff>114300</xdr:rowOff>
    </xdr:from>
    <xdr:to>
      <xdr:col>7</xdr:col>
      <xdr:colOff>76200</xdr:colOff>
      <xdr:row>9</xdr:row>
      <xdr:rowOff>47625</xdr:rowOff>
    </xdr:to>
    <xdr:sp macro="" textlink="">
      <xdr:nvSpPr>
        <xdr:cNvPr id="14" name="Star: 5 Points 13">
          <a:extLst>
            <a:ext uri="{FF2B5EF4-FFF2-40B4-BE49-F238E27FC236}">
              <a16:creationId xmlns:a16="http://schemas.microsoft.com/office/drawing/2014/main" xmlns="" id="{3D93B647-9344-4193-BBB5-08B0EFD44139}"/>
            </a:ext>
          </a:extLst>
        </xdr:cNvPr>
        <xdr:cNvSpPr/>
      </xdr:nvSpPr>
      <xdr:spPr>
        <a:xfrm>
          <a:off x="4276725" y="1638300"/>
          <a:ext cx="142875" cy="123825"/>
        </a:xfrm>
        <a:prstGeom prst="star5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542925</xdr:colOff>
      <xdr:row>13</xdr:row>
      <xdr:rowOff>9525</xdr:rowOff>
    </xdr:from>
    <xdr:to>
      <xdr:col>8</xdr:col>
      <xdr:colOff>76200</xdr:colOff>
      <xdr:row>13</xdr:row>
      <xdr:rowOff>133350</xdr:rowOff>
    </xdr:to>
    <xdr:sp macro="" textlink="">
      <xdr:nvSpPr>
        <xdr:cNvPr id="15" name="Star: 5 Points 14">
          <a:extLst>
            <a:ext uri="{FF2B5EF4-FFF2-40B4-BE49-F238E27FC236}">
              <a16:creationId xmlns:a16="http://schemas.microsoft.com/office/drawing/2014/main" xmlns="" id="{B874CE5C-4DB1-48AE-8557-951BF4335967}"/>
            </a:ext>
          </a:extLst>
        </xdr:cNvPr>
        <xdr:cNvSpPr/>
      </xdr:nvSpPr>
      <xdr:spPr>
        <a:xfrm>
          <a:off x="4886325" y="2486025"/>
          <a:ext cx="142875" cy="123825"/>
        </a:xfrm>
        <a:prstGeom prst="star5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17</xdr:row>
      <xdr:rowOff>47625</xdr:rowOff>
    </xdr:from>
    <xdr:to>
      <xdr:col>9</xdr:col>
      <xdr:colOff>66675</xdr:colOff>
      <xdr:row>17</xdr:row>
      <xdr:rowOff>171450</xdr:rowOff>
    </xdr:to>
    <xdr:sp macro="" textlink="">
      <xdr:nvSpPr>
        <xdr:cNvPr id="16" name="Star: 5 Points 15">
          <a:extLst>
            <a:ext uri="{FF2B5EF4-FFF2-40B4-BE49-F238E27FC236}">
              <a16:creationId xmlns:a16="http://schemas.microsoft.com/office/drawing/2014/main" xmlns="" id="{4BD24A29-0EBA-4A15-A45A-ABABD3A0A5CF}"/>
            </a:ext>
          </a:extLst>
        </xdr:cNvPr>
        <xdr:cNvSpPr/>
      </xdr:nvSpPr>
      <xdr:spPr>
        <a:xfrm>
          <a:off x="5486400" y="3286125"/>
          <a:ext cx="142875" cy="123825"/>
        </a:xfrm>
        <a:prstGeom prst="star5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533400</xdr:colOff>
      <xdr:row>4</xdr:row>
      <xdr:rowOff>18722</xdr:rowOff>
    </xdr:from>
    <xdr:to>
      <xdr:col>7</xdr:col>
      <xdr:colOff>48913</xdr:colOff>
      <xdr:row>9</xdr:row>
      <xdr:rowOff>47625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E155BF3D-DF22-CC67-22F7-F60FA476C984}"/>
            </a:ext>
          </a:extLst>
        </xdr:cNvPr>
        <xdr:cNvCxnSpPr>
          <a:stCxn id="13" idx="1"/>
          <a:endCxn id="14" idx="3"/>
        </xdr:cNvCxnSpPr>
      </xdr:nvCxnSpPr>
      <xdr:spPr>
        <a:xfrm>
          <a:off x="3657600" y="780722"/>
          <a:ext cx="734713" cy="9814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8</xdr:row>
      <xdr:rowOff>180647</xdr:rowOff>
    </xdr:from>
    <xdr:to>
      <xdr:col>8</xdr:col>
      <xdr:colOff>48913</xdr:colOff>
      <xdr:row>13</xdr:row>
      <xdr:rowOff>133350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B5DD00C5-BF8B-4437-80BB-EA1DF169D67A}"/>
            </a:ext>
          </a:extLst>
        </xdr:cNvPr>
        <xdr:cNvCxnSpPr>
          <a:endCxn id="15" idx="3"/>
        </xdr:cNvCxnSpPr>
      </xdr:nvCxnSpPr>
      <xdr:spPr>
        <a:xfrm>
          <a:off x="4352925" y="1704647"/>
          <a:ext cx="648988" cy="9052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75872</xdr:rowOff>
    </xdr:from>
    <xdr:to>
      <xdr:col>9</xdr:col>
      <xdr:colOff>39388</xdr:colOff>
      <xdr:row>17</xdr:row>
      <xdr:rowOff>171450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3F76DBF9-30D3-44B9-BDBF-8C8C2577788A}"/>
            </a:ext>
          </a:extLst>
        </xdr:cNvPr>
        <xdr:cNvCxnSpPr>
          <a:endCxn id="16" idx="3"/>
        </xdr:cNvCxnSpPr>
      </xdr:nvCxnSpPr>
      <xdr:spPr>
        <a:xfrm>
          <a:off x="4953000" y="2552372"/>
          <a:ext cx="648988" cy="8575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9</xdr:row>
      <xdr:rowOff>114300</xdr:rowOff>
    </xdr:from>
    <xdr:to>
      <xdr:col>7</xdr:col>
      <xdr:colOff>200025</xdr:colOff>
      <xdr:row>10</xdr:row>
      <xdr:rowOff>47625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xmlns="" id="{EEF25D02-29C5-6DB1-C01F-C9EAE52FEC55}"/>
            </a:ext>
          </a:extLst>
        </xdr:cNvPr>
        <xdr:cNvSpPr/>
      </xdr:nvSpPr>
      <xdr:spPr>
        <a:xfrm>
          <a:off x="4429125" y="1828800"/>
          <a:ext cx="114300" cy="12382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200024</xdr:colOff>
      <xdr:row>19</xdr:row>
      <xdr:rowOff>114300</xdr:rowOff>
    </xdr:to>
    <xdr:sp macro="" textlink="">
      <xdr:nvSpPr>
        <xdr:cNvPr id="12" name="Rectangle 1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95250</xdr:rowOff>
    </xdr:from>
    <xdr:to>
      <xdr:col>3</xdr:col>
      <xdr:colOff>123825</xdr:colOff>
      <xdr:row>7</xdr:row>
      <xdr:rowOff>114300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xmlns="" id="{FE2CA99B-61AE-4797-BBD0-9AB713CE510E}"/>
            </a:ext>
          </a:extLst>
        </xdr:cNvPr>
        <xdr:cNvSpPr/>
      </xdr:nvSpPr>
      <xdr:spPr>
        <a:xfrm rot="10800000">
          <a:off x="1819275" y="85725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466725</xdr:colOff>
      <xdr:row>3</xdr:row>
      <xdr:rowOff>180975</xdr:rowOff>
    </xdr:from>
    <xdr:to>
      <xdr:col>9</xdr:col>
      <xdr:colOff>600075</xdr:colOff>
      <xdr:row>7</xdr:row>
      <xdr:rowOff>9525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xmlns="" id="{CDCE66BA-CE27-4F11-AEE8-A688A9EA6D51}"/>
            </a:ext>
          </a:extLst>
        </xdr:cNvPr>
        <xdr:cNvSpPr/>
      </xdr:nvSpPr>
      <xdr:spPr>
        <a:xfrm>
          <a:off x="7172325" y="39909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600075</xdr:colOff>
      <xdr:row>8</xdr:row>
      <xdr:rowOff>85725</xdr:rowOff>
    </xdr:from>
    <xdr:to>
      <xdr:col>3</xdr:col>
      <xdr:colOff>123825</xdr:colOff>
      <xdr:row>11</xdr:row>
      <xdr:rowOff>104775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xmlns="" id="{523048E8-EF2A-443C-A207-AC66B8E4A7D2}"/>
            </a:ext>
          </a:extLst>
        </xdr:cNvPr>
        <xdr:cNvSpPr/>
      </xdr:nvSpPr>
      <xdr:spPr>
        <a:xfrm rot="10800000">
          <a:off x="1819275" y="160972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485775</xdr:colOff>
      <xdr:row>8</xdr:row>
      <xdr:rowOff>171450</xdr:rowOff>
    </xdr:from>
    <xdr:to>
      <xdr:col>10</xdr:col>
      <xdr:colOff>9525</xdr:colOff>
      <xdr:row>12</xdr:row>
      <xdr:rowOff>0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xmlns="" id="{CE07EE31-7A26-47B3-A209-85B26FDAEDAA}"/>
            </a:ext>
          </a:extLst>
        </xdr:cNvPr>
        <xdr:cNvSpPr/>
      </xdr:nvSpPr>
      <xdr:spPr>
        <a:xfrm>
          <a:off x="5972175" y="169545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12</xdr:row>
      <xdr:rowOff>104775</xdr:rowOff>
    </xdr:from>
    <xdr:to>
      <xdr:col>3</xdr:col>
      <xdr:colOff>142875</xdr:colOff>
      <xdr:row>15</xdr:row>
      <xdr:rowOff>123825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xmlns="" id="{A256A76B-0A52-4387-830E-87DAD6E0FA88}"/>
            </a:ext>
          </a:extLst>
        </xdr:cNvPr>
        <xdr:cNvSpPr/>
      </xdr:nvSpPr>
      <xdr:spPr>
        <a:xfrm rot="10800000">
          <a:off x="1838325" y="23907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495300</xdr:colOff>
      <xdr:row>12</xdr:row>
      <xdr:rowOff>114300</xdr:rowOff>
    </xdr:from>
    <xdr:to>
      <xdr:col>8</xdr:col>
      <xdr:colOff>19050</xdr:colOff>
      <xdr:row>15</xdr:row>
      <xdr:rowOff>133350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xmlns="" id="{38D01E64-1137-43B9-8755-2F5B66A129FB}"/>
            </a:ext>
          </a:extLst>
        </xdr:cNvPr>
        <xdr:cNvSpPr/>
      </xdr:nvSpPr>
      <xdr:spPr>
        <a:xfrm>
          <a:off x="4791075" y="240030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409575</xdr:colOff>
      <xdr:row>18</xdr:row>
      <xdr:rowOff>28575</xdr:rowOff>
    </xdr:to>
    <xdr:sp macro="" textlink="">
      <xdr:nvSpPr>
        <xdr:cNvPr id="9" name="Right Bracket 8">
          <a:extLst>
            <a:ext uri="{FF2B5EF4-FFF2-40B4-BE49-F238E27FC236}">
              <a16:creationId xmlns:a16="http://schemas.microsoft.com/office/drawing/2014/main" xmlns="" id="{8F56DC57-87AA-4D03-BD7B-E48E1F98B5B8}"/>
            </a:ext>
          </a:extLst>
        </xdr:cNvPr>
        <xdr:cNvSpPr/>
      </xdr:nvSpPr>
      <xdr:spPr>
        <a:xfrm rot="10800000">
          <a:off x="2105025" y="3171825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552450</xdr:colOff>
      <xdr:row>16</xdr:row>
      <xdr:rowOff>171449</xdr:rowOff>
    </xdr:from>
    <xdr:to>
      <xdr:col>8</xdr:col>
      <xdr:colOff>28575</xdr:colOff>
      <xdr:row>18</xdr:row>
      <xdr:rowOff>66674</xdr:rowOff>
    </xdr:to>
    <xdr:sp macro="" textlink="">
      <xdr:nvSpPr>
        <xdr:cNvPr id="10" name="Right Bracket 9">
          <a:extLst>
            <a:ext uri="{FF2B5EF4-FFF2-40B4-BE49-F238E27FC236}">
              <a16:creationId xmlns:a16="http://schemas.microsoft.com/office/drawing/2014/main" xmlns="" id="{26289299-348D-4950-B985-E55A60AEFD57}"/>
            </a:ext>
          </a:extLst>
        </xdr:cNvPr>
        <xdr:cNvSpPr/>
      </xdr:nvSpPr>
      <xdr:spPr>
        <a:xfrm>
          <a:off x="4848225" y="3219449"/>
          <a:ext cx="85725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581025</xdr:colOff>
      <xdr:row>18</xdr:row>
      <xdr:rowOff>133349</xdr:rowOff>
    </xdr:from>
    <xdr:to>
      <xdr:col>6</xdr:col>
      <xdr:colOff>28575</xdr:colOff>
      <xdr:row>20</xdr:row>
      <xdr:rowOff>28574</xdr:rowOff>
    </xdr:to>
    <xdr:sp macro="" textlink="">
      <xdr:nvSpPr>
        <xdr:cNvPr id="11" name="Right Bracket 10">
          <a:extLst>
            <a:ext uri="{FF2B5EF4-FFF2-40B4-BE49-F238E27FC236}">
              <a16:creationId xmlns:a16="http://schemas.microsoft.com/office/drawing/2014/main" xmlns="" id="{27F25D2F-6A1C-4850-84E5-12354107ACD3}"/>
            </a:ext>
          </a:extLst>
        </xdr:cNvPr>
        <xdr:cNvSpPr/>
      </xdr:nvSpPr>
      <xdr:spPr>
        <a:xfrm>
          <a:off x="3629025" y="3562349"/>
          <a:ext cx="85725" cy="276225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342900</xdr:colOff>
      <xdr:row>18</xdr:row>
      <xdr:rowOff>152400</xdr:rowOff>
    </xdr:from>
    <xdr:to>
      <xdr:col>3</xdr:col>
      <xdr:colOff>476250</xdr:colOff>
      <xdr:row>20</xdr:row>
      <xdr:rowOff>57150</xdr:rowOff>
    </xdr:to>
    <xdr:sp macro="" textlink="">
      <xdr:nvSpPr>
        <xdr:cNvPr id="12" name="Right Bracket 11">
          <a:extLst>
            <a:ext uri="{FF2B5EF4-FFF2-40B4-BE49-F238E27FC236}">
              <a16:creationId xmlns:a16="http://schemas.microsoft.com/office/drawing/2014/main" xmlns="" id="{9AFE8223-67B4-4862-B532-34A206CD6426}"/>
            </a:ext>
          </a:extLst>
        </xdr:cNvPr>
        <xdr:cNvSpPr/>
      </xdr:nvSpPr>
      <xdr:spPr>
        <a:xfrm rot="10800000">
          <a:off x="2171700" y="3581400"/>
          <a:ext cx="133350" cy="2857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247649</xdr:colOff>
      <xdr:row>19</xdr:row>
      <xdr:rowOff>114300</xdr:rowOff>
    </xdr:to>
    <xdr:sp macro="" textlink="">
      <xdr:nvSpPr>
        <xdr:cNvPr id="13" name="Rectangle 1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542924</xdr:colOff>
      <xdr:row>18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142875</xdr:rowOff>
    </xdr:from>
    <xdr:to>
      <xdr:col>9</xdr:col>
      <xdr:colOff>9525</xdr:colOff>
      <xdr:row>19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5680D45-AF72-0C25-BF55-8BD735E80BB4}"/>
            </a:ext>
          </a:extLst>
        </xdr:cNvPr>
        <xdr:cNvCxnSpPr/>
      </xdr:nvCxnSpPr>
      <xdr:spPr>
        <a:xfrm flipV="1">
          <a:off x="5495925" y="904875"/>
          <a:ext cx="0" cy="27336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14</xdr:row>
      <xdr:rowOff>180975</xdr:rowOff>
    </xdr:from>
    <xdr:to>
      <xdr:col>13</xdr:col>
      <xdr:colOff>190500</xdr:colOff>
      <xdr:row>15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88290471-2DAF-4FBC-81F5-B3F988E25C4B}"/>
            </a:ext>
          </a:extLst>
        </xdr:cNvPr>
        <xdr:cNvCxnSpPr/>
      </xdr:nvCxnSpPr>
      <xdr:spPr>
        <a:xfrm>
          <a:off x="5467350" y="2847975"/>
          <a:ext cx="2647950" cy="95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5</xdr:row>
      <xdr:rowOff>133350</xdr:rowOff>
    </xdr:from>
    <xdr:to>
      <xdr:col>12</xdr:col>
      <xdr:colOff>371475</xdr:colOff>
      <xdr:row>18</xdr:row>
      <xdr:rowOff>180975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BDEAF223-62A0-1150-46B0-E11CA54EB79F}"/>
            </a:ext>
          </a:extLst>
        </xdr:cNvPr>
        <xdr:cNvCxnSpPr/>
      </xdr:nvCxnSpPr>
      <xdr:spPr>
        <a:xfrm>
          <a:off x="5838825" y="1085850"/>
          <a:ext cx="1847850" cy="2524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14</xdr:row>
      <xdr:rowOff>95250</xdr:rowOff>
    </xdr:from>
    <xdr:to>
      <xdr:col>11</xdr:col>
      <xdr:colOff>466725</xdr:colOff>
      <xdr:row>15</xdr:row>
      <xdr:rowOff>47625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xmlns="" id="{021EFB96-F287-15AA-3E62-33C707ED581B}"/>
            </a:ext>
          </a:extLst>
        </xdr:cNvPr>
        <xdr:cNvSpPr/>
      </xdr:nvSpPr>
      <xdr:spPr>
        <a:xfrm>
          <a:off x="7077075" y="2762250"/>
          <a:ext cx="95250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133350</xdr:colOff>
      <xdr:row>24</xdr:row>
      <xdr:rowOff>57150</xdr:rowOff>
    </xdr:to>
    <xdr:sp macro="" textlink="">
      <xdr:nvSpPr>
        <xdr:cNvPr id="20" name="Right Bracket 19">
          <a:extLst>
            <a:ext uri="{FF2B5EF4-FFF2-40B4-BE49-F238E27FC236}">
              <a16:creationId xmlns:a16="http://schemas.microsoft.com/office/drawing/2014/main" xmlns="" id="{BA542CF4-01A4-43EC-8966-3F6B47E0F9CE}"/>
            </a:ext>
          </a:extLst>
        </xdr:cNvPr>
        <xdr:cNvSpPr/>
      </xdr:nvSpPr>
      <xdr:spPr>
        <a:xfrm rot="10800000">
          <a:off x="3048000" y="4038600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466725</xdr:colOff>
      <xdr:row>20</xdr:row>
      <xdr:rowOff>180975</xdr:rowOff>
    </xdr:from>
    <xdr:to>
      <xdr:col>11</xdr:col>
      <xdr:colOff>600075</xdr:colOff>
      <xdr:row>24</xdr:row>
      <xdr:rowOff>9525</xdr:rowOff>
    </xdr:to>
    <xdr:sp macro="" textlink="">
      <xdr:nvSpPr>
        <xdr:cNvPr id="21" name="Right Bracket 20">
          <a:extLst>
            <a:ext uri="{FF2B5EF4-FFF2-40B4-BE49-F238E27FC236}">
              <a16:creationId xmlns:a16="http://schemas.microsoft.com/office/drawing/2014/main" xmlns="" id="{8D90CC81-5182-46C5-B0F2-180A557042B3}"/>
            </a:ext>
          </a:extLst>
        </xdr:cNvPr>
        <xdr:cNvSpPr/>
      </xdr:nvSpPr>
      <xdr:spPr>
        <a:xfrm>
          <a:off x="7172325" y="3990975"/>
          <a:ext cx="133350" cy="590550"/>
        </a:xfrm>
        <a:prstGeom prst="righ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552450</xdr:colOff>
      <xdr:row>31</xdr:row>
      <xdr:rowOff>176212</xdr:rowOff>
    </xdr:from>
    <xdr:to>
      <xdr:col>17</xdr:col>
      <xdr:colOff>438149</xdr:colOff>
      <xdr:row>41</xdr:row>
      <xdr:rowOff>28577</xdr:rowOff>
    </xdr:to>
    <xdr:sp macro="" textlink="">
      <xdr:nvSpPr>
        <xdr:cNvPr id="22" name="Flowchart: Delay 21">
          <a:extLst>
            <a:ext uri="{FF2B5EF4-FFF2-40B4-BE49-F238E27FC236}">
              <a16:creationId xmlns:a16="http://schemas.microsoft.com/office/drawing/2014/main" xmlns="" id="{7491D20B-7187-7F53-E935-1815B042200B}"/>
            </a:ext>
          </a:extLst>
        </xdr:cNvPr>
        <xdr:cNvSpPr/>
      </xdr:nvSpPr>
      <xdr:spPr>
        <a:xfrm rot="5400000">
          <a:off x="8398667" y="5379245"/>
          <a:ext cx="2138365" cy="3543299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552450</xdr:colOff>
      <xdr:row>31</xdr:row>
      <xdr:rowOff>133350</xdr:rowOff>
    </xdr:from>
    <xdr:to>
      <xdr:col>17</xdr:col>
      <xdr:colOff>476250</xdr:colOff>
      <xdr:row>35</xdr:row>
      <xdr:rowOff>66675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F17F153D-D5B0-C979-D2BD-DCB85D0CF542}"/>
            </a:ext>
          </a:extLst>
        </xdr:cNvPr>
        <xdr:cNvSpPr/>
      </xdr:nvSpPr>
      <xdr:spPr>
        <a:xfrm>
          <a:off x="7696200" y="6038850"/>
          <a:ext cx="3581400" cy="10763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800">
              <a:solidFill>
                <a:sysClr val="windowText" lastClr="000000"/>
              </a:solidFill>
            </a:rPr>
            <a:t>Soil</a:t>
          </a:r>
        </a:p>
      </xdr:txBody>
    </xdr:sp>
    <xdr:clientData/>
  </xdr:twoCellAnchor>
  <xdr:twoCellAnchor>
    <xdr:from>
      <xdr:col>13</xdr:col>
      <xdr:colOff>352425</xdr:colOff>
      <xdr:row>36</xdr:row>
      <xdr:rowOff>57150</xdr:rowOff>
    </xdr:from>
    <xdr:to>
      <xdr:col>16</xdr:col>
      <xdr:colOff>114300</xdr:colOff>
      <xdr:row>39</xdr:row>
      <xdr:rowOff>95250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C0D923EA-C290-4B27-BC80-7744F86D6B79}"/>
            </a:ext>
          </a:extLst>
        </xdr:cNvPr>
        <xdr:cNvSpPr/>
      </xdr:nvSpPr>
      <xdr:spPr>
        <a:xfrm>
          <a:off x="8715375" y="7296150"/>
          <a:ext cx="1590675" cy="609600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Oil</a:t>
          </a:r>
        </a:p>
      </xdr:txBody>
    </xdr:sp>
    <xdr:clientData/>
  </xdr:twoCellAnchor>
  <xdr:twoCellAnchor>
    <xdr:from>
      <xdr:col>7</xdr:col>
      <xdr:colOff>257174</xdr:colOff>
      <xdr:row>52</xdr:row>
      <xdr:rowOff>14287</xdr:rowOff>
    </xdr:from>
    <xdr:to>
      <xdr:col>16</xdr:col>
      <xdr:colOff>28574</xdr:colOff>
      <xdr:row>68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527895D-CC85-599D-BD78-27E72F2BAA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47624</xdr:colOff>
      <xdr:row>19</xdr:row>
      <xdr:rowOff>114300</xdr:rowOff>
    </xdr:to>
    <xdr:sp macro="" textlink="">
      <xdr:nvSpPr>
        <xdr:cNvPr id="12" name="Rectangle 1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200024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47</xdr:row>
      <xdr:rowOff>19050</xdr:rowOff>
    </xdr:from>
    <xdr:to>
      <xdr:col>9</xdr:col>
      <xdr:colOff>382526</xdr:colOff>
      <xdr:row>63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11A0CC1-1B3E-4385-B6EE-3FEC19072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991600"/>
          <a:ext cx="6469001" cy="319087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30</xdr:row>
      <xdr:rowOff>133350</xdr:rowOff>
    </xdr:from>
    <xdr:to>
      <xdr:col>7</xdr:col>
      <xdr:colOff>218468</xdr:colOff>
      <xdr:row>45</xdr:row>
      <xdr:rowOff>94895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E47F9C5-5DDF-6C7E-5ADD-2FAC2559F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5848350"/>
          <a:ext cx="4857143" cy="2838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57149</xdr:colOff>
      <xdr:row>19</xdr:row>
      <xdr:rowOff>114300</xdr:rowOff>
    </xdr:to>
    <xdr:sp macro="" textlink="">
      <xdr:nvSpPr>
        <xdr:cNvPr id="5" name="Rectangle 4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3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504824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419099</xdr:colOff>
      <xdr:row>18</xdr:row>
      <xdr:rowOff>133350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1114427</xdr:colOff>
      <xdr:row>36</xdr:row>
      <xdr:rowOff>9525</xdr:rowOff>
    </xdr:from>
    <xdr:to>
      <xdr:col>3</xdr:col>
      <xdr:colOff>552450</xdr:colOff>
      <xdr:row>38</xdr:row>
      <xdr:rowOff>9523</xdr:rowOff>
    </xdr:to>
    <xdr:cxnSp macro="">
      <xdr:nvCxnSpPr>
        <xdr:cNvPr id="2" name="Elbow Connector 2">
          <a:extLst>
            <a:ext uri="{FF2B5EF4-FFF2-40B4-BE49-F238E27FC236}">
              <a16:creationId xmlns:a16="http://schemas.microsoft.com/office/drawing/2014/main" xmlns="" id="{8E82FF23-423F-4DEC-93C4-6F68FB2EA86A}"/>
            </a:ext>
          </a:extLst>
        </xdr:cNvPr>
        <xdr:cNvCxnSpPr/>
      </xdr:nvCxnSpPr>
      <xdr:spPr>
        <a:xfrm rot="10800000" flipV="1">
          <a:off x="4095752" y="6886575"/>
          <a:ext cx="800098" cy="380998"/>
        </a:xfrm>
        <a:prstGeom prst="bentConnector3">
          <a:avLst>
            <a:gd name="adj1" fmla="val 50000"/>
          </a:avLst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561974</xdr:colOff>
      <xdr:row>19</xdr:row>
      <xdr:rowOff>114300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1238249</xdr:colOff>
      <xdr:row>64</xdr:row>
      <xdr:rowOff>142875</xdr:rowOff>
    </xdr:from>
    <xdr:to>
      <xdr:col>3</xdr:col>
      <xdr:colOff>171449</xdr:colOff>
      <xdr:row>67</xdr:row>
      <xdr:rowOff>85725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xmlns="" id="{BB47F780-A557-A09E-D3ED-A03C241888BE}"/>
            </a:ext>
          </a:extLst>
        </xdr:cNvPr>
        <xdr:cNvSpPr/>
      </xdr:nvSpPr>
      <xdr:spPr>
        <a:xfrm rot="10800000">
          <a:off x="3295649" y="12430125"/>
          <a:ext cx="238125" cy="51435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257174</xdr:colOff>
      <xdr:row>19</xdr:row>
      <xdr:rowOff>95250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476249</xdr:colOff>
      <xdr:row>19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12</xdr:row>
      <xdr:rowOff>142874</xdr:rowOff>
    </xdr:from>
    <xdr:to>
      <xdr:col>3</xdr:col>
      <xdr:colOff>228599</xdr:colOff>
      <xdr:row>14</xdr:row>
      <xdr:rowOff>95249</xdr:rowOff>
    </xdr:to>
    <xdr:sp macro="" textlink="">
      <xdr:nvSpPr>
        <xdr:cNvPr id="2" name="Arrow: Bent 1">
          <a:extLst>
            <a:ext uri="{FF2B5EF4-FFF2-40B4-BE49-F238E27FC236}">
              <a16:creationId xmlns:a16="http://schemas.microsoft.com/office/drawing/2014/main" xmlns="" id="{AD50CC73-970C-1F48-67B6-ADDF75FF9E4D}"/>
            </a:ext>
          </a:extLst>
        </xdr:cNvPr>
        <xdr:cNvSpPr/>
      </xdr:nvSpPr>
      <xdr:spPr>
        <a:xfrm rot="10800000">
          <a:off x="1914524" y="2428874"/>
          <a:ext cx="295275" cy="33337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95249</xdr:colOff>
      <xdr:row>19</xdr:row>
      <xdr:rowOff>114300</xdr:rowOff>
    </xdr:to>
    <xdr:sp macro="" textlink="">
      <xdr:nvSpPr>
        <xdr:cNvPr id="3" name="Rectangle 2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571504</xdr:colOff>
      <xdr:row>7</xdr:row>
      <xdr:rowOff>104774</xdr:rowOff>
    </xdr:from>
    <xdr:to>
      <xdr:col>5</xdr:col>
      <xdr:colOff>333376</xdr:colOff>
      <xdr:row>9</xdr:row>
      <xdr:rowOff>28573</xdr:rowOff>
    </xdr:to>
    <xdr:cxnSp macro="">
      <xdr:nvCxnSpPr>
        <xdr:cNvPr id="2" name="Elbow Connector 2">
          <a:extLst>
            <a:ext uri="{FF2B5EF4-FFF2-40B4-BE49-F238E27FC236}">
              <a16:creationId xmlns:a16="http://schemas.microsoft.com/office/drawing/2014/main" xmlns="" id="{060AF8F1-375F-4D58-AAA5-EFC6E9BA109D}"/>
            </a:ext>
          </a:extLst>
        </xdr:cNvPr>
        <xdr:cNvCxnSpPr/>
      </xdr:nvCxnSpPr>
      <xdr:spPr>
        <a:xfrm rot="10800000" flipV="1">
          <a:off x="3457579" y="1438274"/>
          <a:ext cx="514347" cy="30479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628654</xdr:colOff>
      <xdr:row>6</xdr:row>
      <xdr:rowOff>114299</xdr:rowOff>
    </xdr:from>
    <xdr:to>
      <xdr:col>11</xdr:col>
      <xdr:colOff>390526</xdr:colOff>
      <xdr:row>8</xdr:row>
      <xdr:rowOff>38098</xdr:rowOff>
    </xdr:to>
    <xdr:cxnSp macro="">
      <xdr:nvCxnSpPr>
        <xdr:cNvPr id="3" name="Elbow Connector 6">
          <a:extLst>
            <a:ext uri="{FF2B5EF4-FFF2-40B4-BE49-F238E27FC236}">
              <a16:creationId xmlns:a16="http://schemas.microsoft.com/office/drawing/2014/main" xmlns="" id="{49780948-81D0-4C52-B39F-3025161D39B1}"/>
            </a:ext>
          </a:extLst>
        </xdr:cNvPr>
        <xdr:cNvCxnSpPr/>
      </xdr:nvCxnSpPr>
      <xdr:spPr>
        <a:xfrm rot="10800000" flipV="1">
          <a:off x="7410454" y="1257299"/>
          <a:ext cx="561972" cy="30479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542929</xdr:colOff>
      <xdr:row>8</xdr:row>
      <xdr:rowOff>95249</xdr:rowOff>
    </xdr:from>
    <xdr:to>
      <xdr:col>17</xdr:col>
      <xdr:colOff>304801</xdr:colOff>
      <xdr:row>10</xdr:row>
      <xdr:rowOff>19048</xdr:rowOff>
    </xdr:to>
    <xdr:cxnSp macro="">
      <xdr:nvCxnSpPr>
        <xdr:cNvPr id="4" name="Elbow Connector 7">
          <a:extLst>
            <a:ext uri="{FF2B5EF4-FFF2-40B4-BE49-F238E27FC236}">
              <a16:creationId xmlns:a16="http://schemas.microsoft.com/office/drawing/2014/main" xmlns="" id="{93710E09-6143-4C51-946F-29EEB7895AD6}"/>
            </a:ext>
          </a:extLst>
        </xdr:cNvPr>
        <xdr:cNvCxnSpPr/>
      </xdr:nvCxnSpPr>
      <xdr:spPr>
        <a:xfrm rot="10800000" flipV="1">
          <a:off x="11468104" y="1619249"/>
          <a:ext cx="514347" cy="30479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180974</xdr:colOff>
      <xdr:row>19</xdr:row>
      <xdr:rowOff>95250</xdr:rowOff>
    </xdr:to>
    <xdr:sp macro="" textlink="">
      <xdr:nvSpPr>
        <xdr:cNvPr id="5" name="Rectangle 4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476249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590549</xdr:colOff>
      <xdr:row>19</xdr:row>
      <xdr:rowOff>85725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609599</xdr:colOff>
      <xdr:row>19</xdr:row>
      <xdr:rowOff>85725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1</xdr:row>
      <xdr:rowOff>152400</xdr:rowOff>
    </xdr:from>
    <xdr:to>
      <xdr:col>3</xdr:col>
      <xdr:colOff>485776</xdr:colOff>
      <xdr:row>3</xdr:row>
      <xdr:rowOff>28575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xmlns="" id="{44A0E56E-6911-7154-A4C7-770981CD4133}"/>
            </a:ext>
          </a:extLst>
        </xdr:cNvPr>
        <xdr:cNvSpPr/>
      </xdr:nvSpPr>
      <xdr:spPr>
        <a:xfrm>
          <a:off x="3286126" y="342900"/>
          <a:ext cx="1943100" cy="257175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714375</xdr:colOff>
      <xdr:row>11</xdr:row>
      <xdr:rowOff>19050</xdr:rowOff>
    </xdr:from>
    <xdr:to>
      <xdr:col>4</xdr:col>
      <xdr:colOff>9525</xdr:colOff>
      <xdr:row>14</xdr:row>
      <xdr:rowOff>152400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xmlns="" id="{4CA362B0-FBC6-CFCE-6784-29E728A6C649}"/>
            </a:ext>
          </a:extLst>
        </xdr:cNvPr>
        <xdr:cNvSpPr/>
      </xdr:nvSpPr>
      <xdr:spPr>
        <a:xfrm>
          <a:off x="2705100" y="2114550"/>
          <a:ext cx="638175" cy="704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238124</xdr:colOff>
      <xdr:row>19</xdr:row>
      <xdr:rowOff>19050</xdr:rowOff>
    </xdr:from>
    <xdr:to>
      <xdr:col>10</xdr:col>
      <xdr:colOff>438149</xdr:colOff>
      <xdr:row>25</xdr:row>
      <xdr:rowOff>171450</xdr:rowOff>
    </xdr:to>
    <xdr:sp macro="" textlink="">
      <xdr:nvSpPr>
        <xdr:cNvPr id="6" name="Smiley Face 5">
          <a:extLst>
            <a:ext uri="{FF2B5EF4-FFF2-40B4-BE49-F238E27FC236}">
              <a16:creationId xmlns:a16="http://schemas.microsoft.com/office/drawing/2014/main" xmlns="" id="{A08D1D1E-B7CA-E68D-CF19-461F2D3C56B7}"/>
            </a:ext>
          </a:extLst>
        </xdr:cNvPr>
        <xdr:cNvSpPr/>
      </xdr:nvSpPr>
      <xdr:spPr>
        <a:xfrm>
          <a:off x="5886449" y="3638550"/>
          <a:ext cx="1419225" cy="131445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Investor</a:t>
          </a:r>
        </a:p>
      </xdr:txBody>
    </xdr:sp>
    <xdr:clientData/>
  </xdr:twoCellAnchor>
  <xdr:twoCellAnchor>
    <xdr:from>
      <xdr:col>12</xdr:col>
      <xdr:colOff>95250</xdr:colOff>
      <xdr:row>18</xdr:row>
      <xdr:rowOff>171450</xdr:rowOff>
    </xdr:from>
    <xdr:to>
      <xdr:col>14</xdr:col>
      <xdr:colOff>466725</xdr:colOff>
      <xdr:row>25</xdr:row>
      <xdr:rowOff>123825</xdr:rowOff>
    </xdr:to>
    <xdr:sp macro="" textlink="">
      <xdr:nvSpPr>
        <xdr:cNvPr id="7" name="Cube 6">
          <a:extLst>
            <a:ext uri="{FF2B5EF4-FFF2-40B4-BE49-F238E27FC236}">
              <a16:creationId xmlns:a16="http://schemas.microsoft.com/office/drawing/2014/main" xmlns="" id="{31CF6DD2-3856-100E-F115-369247AA7073}"/>
            </a:ext>
          </a:extLst>
        </xdr:cNvPr>
        <xdr:cNvSpPr/>
      </xdr:nvSpPr>
      <xdr:spPr>
        <a:xfrm>
          <a:off x="8791575" y="3600450"/>
          <a:ext cx="1733550" cy="1304925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BIZ</a:t>
          </a:r>
          <a:r>
            <a:rPr lang="en-US" sz="1400" b="1" baseline="0"/>
            <a:t> Managed by BOD</a:t>
          </a:r>
          <a:endParaRPr lang="en-US" sz="1400" b="1"/>
        </a:p>
      </xdr:txBody>
    </xdr:sp>
    <xdr:clientData/>
  </xdr:twoCellAnchor>
  <xdr:twoCellAnchor>
    <xdr:from>
      <xdr:col>9</xdr:col>
      <xdr:colOff>447675</xdr:colOff>
      <xdr:row>15</xdr:row>
      <xdr:rowOff>9525</xdr:rowOff>
    </xdr:from>
    <xdr:to>
      <xdr:col>13</xdr:col>
      <xdr:colOff>209550</xdr:colOff>
      <xdr:row>18</xdr:row>
      <xdr:rowOff>171450</xdr:rowOff>
    </xdr:to>
    <xdr:sp macro="" textlink="">
      <xdr:nvSpPr>
        <xdr:cNvPr id="8" name="Arrow: Curved Down 7">
          <a:extLst>
            <a:ext uri="{FF2B5EF4-FFF2-40B4-BE49-F238E27FC236}">
              <a16:creationId xmlns:a16="http://schemas.microsoft.com/office/drawing/2014/main" xmlns="" id="{DCE100F4-0CF0-515A-BA75-21F259020DE7}"/>
            </a:ext>
          </a:extLst>
        </xdr:cNvPr>
        <xdr:cNvSpPr/>
      </xdr:nvSpPr>
      <xdr:spPr>
        <a:xfrm>
          <a:off x="6705600" y="2867025"/>
          <a:ext cx="2952750" cy="733425"/>
        </a:xfrm>
        <a:prstGeom prst="curved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28575</xdr:colOff>
      <xdr:row>14</xdr:row>
      <xdr:rowOff>104775</xdr:rowOff>
    </xdr:from>
    <xdr:to>
      <xdr:col>18</xdr:col>
      <xdr:colOff>0</xdr:colOff>
      <xdr:row>18</xdr:row>
      <xdr:rowOff>76200</xdr:rowOff>
    </xdr:to>
    <xdr:sp macro="" textlink="">
      <xdr:nvSpPr>
        <xdr:cNvPr id="9" name="Arrow: Curved Down 8">
          <a:extLst>
            <a:ext uri="{FF2B5EF4-FFF2-40B4-BE49-F238E27FC236}">
              <a16:creationId xmlns:a16="http://schemas.microsoft.com/office/drawing/2014/main" xmlns="" id="{E020DD43-0BCF-44DD-814C-C1E957A307B5}"/>
            </a:ext>
          </a:extLst>
        </xdr:cNvPr>
        <xdr:cNvSpPr/>
      </xdr:nvSpPr>
      <xdr:spPr>
        <a:xfrm>
          <a:off x="10086975" y="2771775"/>
          <a:ext cx="2409825" cy="733425"/>
        </a:xfrm>
        <a:prstGeom prst="curved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514350</xdr:colOff>
      <xdr:row>18</xdr:row>
      <xdr:rowOff>114300</xdr:rowOff>
    </xdr:from>
    <xdr:to>
      <xdr:col>19</xdr:col>
      <xdr:colOff>190500</xdr:colOff>
      <xdr:row>24</xdr:row>
      <xdr:rowOff>142875</xdr:rowOff>
    </xdr:to>
    <xdr:sp macro="" textlink="">
      <xdr:nvSpPr>
        <xdr:cNvPr id="10" name="Teardrop 9">
          <a:extLst>
            <a:ext uri="{FF2B5EF4-FFF2-40B4-BE49-F238E27FC236}">
              <a16:creationId xmlns:a16="http://schemas.microsoft.com/office/drawing/2014/main" xmlns="" id="{51BB16D4-B57B-7AF1-DE6C-E9B89FCF2194}"/>
            </a:ext>
          </a:extLst>
        </xdr:cNvPr>
        <xdr:cNvSpPr/>
      </xdr:nvSpPr>
      <xdr:spPr>
        <a:xfrm>
          <a:off x="11791950" y="3543300"/>
          <a:ext cx="1504950" cy="1181100"/>
        </a:xfrm>
        <a:prstGeom prst="teardrop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Project</a:t>
          </a:r>
        </a:p>
      </xdr:txBody>
    </xdr:sp>
    <xdr:clientData/>
  </xdr:twoCellAnchor>
  <xdr:twoCellAnchor>
    <xdr:from>
      <xdr:col>13</xdr:col>
      <xdr:colOff>552450</xdr:colOff>
      <xdr:row>25</xdr:row>
      <xdr:rowOff>161925</xdr:rowOff>
    </xdr:from>
    <xdr:to>
      <xdr:col>17</xdr:col>
      <xdr:colOff>523875</xdr:colOff>
      <xdr:row>29</xdr:row>
      <xdr:rowOff>133350</xdr:rowOff>
    </xdr:to>
    <xdr:sp macro="" textlink="">
      <xdr:nvSpPr>
        <xdr:cNvPr id="12" name="Arrow: Curved Down 11">
          <a:extLst>
            <a:ext uri="{FF2B5EF4-FFF2-40B4-BE49-F238E27FC236}">
              <a16:creationId xmlns:a16="http://schemas.microsoft.com/office/drawing/2014/main" xmlns="" id="{1E31389E-E1C6-4421-9372-15D5FDBDBBF5}"/>
            </a:ext>
          </a:extLst>
        </xdr:cNvPr>
        <xdr:cNvSpPr/>
      </xdr:nvSpPr>
      <xdr:spPr>
        <a:xfrm rot="10800000">
          <a:off x="10001250" y="4943475"/>
          <a:ext cx="2409825" cy="733425"/>
        </a:xfrm>
        <a:prstGeom prst="curved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323850</xdr:colOff>
      <xdr:row>26</xdr:row>
      <xdr:rowOff>9525</xdr:rowOff>
    </xdr:from>
    <xdr:to>
      <xdr:col>12</xdr:col>
      <xdr:colOff>619125</xdr:colOff>
      <xdr:row>29</xdr:row>
      <xdr:rowOff>171450</xdr:rowOff>
    </xdr:to>
    <xdr:sp macro="" textlink="">
      <xdr:nvSpPr>
        <xdr:cNvPr id="13" name="Arrow: Curved Down 12">
          <a:extLst>
            <a:ext uri="{FF2B5EF4-FFF2-40B4-BE49-F238E27FC236}">
              <a16:creationId xmlns:a16="http://schemas.microsoft.com/office/drawing/2014/main" xmlns="" id="{67749F00-55A2-4A0F-8154-23684A30B92C}"/>
            </a:ext>
          </a:extLst>
        </xdr:cNvPr>
        <xdr:cNvSpPr/>
      </xdr:nvSpPr>
      <xdr:spPr>
        <a:xfrm rot="10800000">
          <a:off x="6581775" y="4981575"/>
          <a:ext cx="2733675" cy="733425"/>
        </a:xfrm>
        <a:prstGeom prst="curved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22</xdr:col>
      <xdr:colOff>142874</xdr:colOff>
      <xdr:row>19</xdr:row>
      <xdr:rowOff>114300</xdr:rowOff>
    </xdr:to>
    <xdr:sp macro="" textlink="">
      <xdr:nvSpPr>
        <xdr:cNvPr id="11" name="Rectangle 10"/>
        <xdr:cNvSpPr>
          <a:spLocks/>
        </xdr:cNvSpPr>
      </xdr:nvSpPr>
      <xdr:spPr>
        <a:xfrm>
          <a:off x="293370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4"/>
  <sheetViews>
    <sheetView tabSelected="1" workbookViewId="0">
      <selection activeCell="D22" sqref="D22"/>
    </sheetView>
  </sheetViews>
  <sheetFormatPr defaultRowHeight="15" x14ac:dyDescent="0.25"/>
  <cols>
    <col min="4" max="4" width="11.140625" bestFit="1" customWidth="1"/>
    <col min="5" max="5" width="16.85546875" customWidth="1"/>
    <col min="6" max="6" width="13.28515625" customWidth="1"/>
    <col min="7" max="7" width="11.85546875" customWidth="1"/>
  </cols>
  <sheetData>
    <row r="3" spans="2:13" x14ac:dyDescent="0.25">
      <c r="D3" s="1" t="s">
        <v>0</v>
      </c>
      <c r="E3" s="1"/>
      <c r="F3" s="1"/>
      <c r="G3" s="1"/>
      <c r="J3" s="1" t="s">
        <v>1</v>
      </c>
    </row>
    <row r="5" spans="2:13" x14ac:dyDescent="0.25">
      <c r="B5" t="s">
        <v>2</v>
      </c>
      <c r="E5" t="s">
        <v>3</v>
      </c>
    </row>
    <row r="6" spans="2:13" x14ac:dyDescent="0.25">
      <c r="B6" s="1" t="s">
        <v>4</v>
      </c>
    </row>
    <row r="7" spans="2:13" x14ac:dyDescent="0.25">
      <c r="E7" t="s">
        <v>5</v>
      </c>
      <c r="G7" s="2" t="s">
        <v>6</v>
      </c>
      <c r="H7" s="2"/>
      <c r="I7" s="2"/>
      <c r="J7" s="2" t="s">
        <v>7</v>
      </c>
    </row>
    <row r="8" spans="2:13" x14ac:dyDescent="0.25">
      <c r="E8" s="1" t="s">
        <v>8</v>
      </c>
    </row>
    <row r="11" spans="2:13" x14ac:dyDescent="0.25">
      <c r="H11" s="27" t="s">
        <v>9</v>
      </c>
      <c r="L11" t="s">
        <v>10</v>
      </c>
    </row>
    <row r="12" spans="2:13" x14ac:dyDescent="0.25">
      <c r="M12" s="27" t="s">
        <v>11</v>
      </c>
    </row>
    <row r="13" spans="2:13" x14ac:dyDescent="0.25">
      <c r="M13" s="27" t="s">
        <v>12</v>
      </c>
    </row>
    <row r="14" spans="2:13" x14ac:dyDescent="0.25">
      <c r="G14" s="27" t="s">
        <v>13</v>
      </c>
      <c r="I14" s="27" t="s">
        <v>14</v>
      </c>
      <c r="M14" s="27" t="s">
        <v>15</v>
      </c>
    </row>
    <row r="15" spans="2:13" x14ac:dyDescent="0.25">
      <c r="G15" t="s">
        <v>16</v>
      </c>
      <c r="J15" t="s">
        <v>17</v>
      </c>
      <c r="M15" s="27" t="s">
        <v>18</v>
      </c>
    </row>
    <row r="18" spans="11:19" x14ac:dyDescent="0.25">
      <c r="K18" s="47" t="s">
        <v>19</v>
      </c>
      <c r="N18" t="s">
        <v>20</v>
      </c>
      <c r="Q18" t="s">
        <v>21</v>
      </c>
      <c r="S18" t="s">
        <v>22</v>
      </c>
    </row>
    <row r="19" spans="11:19" x14ac:dyDescent="0.25">
      <c r="K19" s="47" t="s">
        <v>23</v>
      </c>
      <c r="Q19" t="s">
        <v>24</v>
      </c>
    </row>
    <row r="20" spans="11:19" x14ac:dyDescent="0.25">
      <c r="K20" s="47" t="s">
        <v>25</v>
      </c>
    </row>
    <row r="21" spans="11:19" x14ac:dyDescent="0.25">
      <c r="K21" s="1" t="s">
        <v>26</v>
      </c>
    </row>
    <row r="22" spans="11:19" x14ac:dyDescent="0.25">
      <c r="K22" s="1" t="s">
        <v>27</v>
      </c>
    </row>
    <row r="23" spans="11:19" x14ac:dyDescent="0.25">
      <c r="K23" t="s">
        <v>28</v>
      </c>
    </row>
    <row r="24" spans="11:19" x14ac:dyDescent="0.25">
      <c r="K24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G21" sqref="G21"/>
    </sheetView>
  </sheetViews>
  <sheetFormatPr defaultRowHeight="15" x14ac:dyDescent="0.25"/>
  <cols>
    <col min="2" max="2" width="10.28515625" bestFit="1" customWidth="1"/>
    <col min="3" max="3" width="13.85546875" customWidth="1"/>
    <col min="4" max="4" width="10.28515625" bestFit="1" customWidth="1"/>
    <col min="8" max="8" width="10.28515625" bestFit="1" customWidth="1"/>
    <col min="9" max="9" width="11" bestFit="1" customWidth="1"/>
    <col min="10" max="10" width="10.28515625" bestFit="1" customWidth="1"/>
    <col min="14" max="14" width="11.42578125" customWidth="1"/>
  </cols>
  <sheetData>
    <row r="2" spans="1:14" x14ac:dyDescent="0.25">
      <c r="A2" s="8" t="s">
        <v>154</v>
      </c>
    </row>
    <row r="4" spans="1:14" x14ac:dyDescent="0.25">
      <c r="A4" s="37" t="s">
        <v>42</v>
      </c>
      <c r="B4" s="25" t="s">
        <v>144</v>
      </c>
      <c r="C4" s="25" t="s">
        <v>145</v>
      </c>
      <c r="D4" s="25" t="s">
        <v>146</v>
      </c>
      <c r="E4" s="8"/>
      <c r="G4" s="37" t="s">
        <v>42</v>
      </c>
      <c r="H4" s="25" t="s">
        <v>144</v>
      </c>
      <c r="I4" s="25" t="s">
        <v>145</v>
      </c>
      <c r="J4" s="25" t="s">
        <v>146</v>
      </c>
      <c r="M4" s="25" t="s">
        <v>155</v>
      </c>
      <c r="N4" s="41" t="s">
        <v>156</v>
      </c>
    </row>
    <row r="5" spans="1:14" x14ac:dyDescent="0.25">
      <c r="A5" s="14">
        <v>0</v>
      </c>
      <c r="B5" s="9">
        <v>-1500</v>
      </c>
      <c r="C5" s="34">
        <v>1</v>
      </c>
      <c r="D5" s="9">
        <f>B5*C5</f>
        <v>-1500</v>
      </c>
      <c r="G5" s="14">
        <v>0</v>
      </c>
      <c r="H5" s="9">
        <v>-1500</v>
      </c>
      <c r="I5" s="34">
        <v>1</v>
      </c>
      <c r="J5" s="9">
        <f>H5*I5</f>
        <v>-1500</v>
      </c>
      <c r="N5" s="42" t="s">
        <v>157</v>
      </c>
    </row>
    <row r="6" spans="1:14" x14ac:dyDescent="0.25">
      <c r="A6" s="14">
        <v>1</v>
      </c>
      <c r="B6" s="9">
        <v>700</v>
      </c>
      <c r="C6" s="43">
        <f>+C5/1.1</f>
        <v>0.90909090909090906</v>
      </c>
      <c r="D6" s="9">
        <f t="shared" ref="D6:D10" si="0">B6*C6</f>
        <v>636.36363636363637</v>
      </c>
      <c r="G6" s="39" t="s">
        <v>158</v>
      </c>
      <c r="H6" s="9">
        <v>700</v>
      </c>
      <c r="I6" s="40">
        <f>+N8</f>
        <v>3.7907867694084505</v>
      </c>
      <c r="J6" s="9">
        <f>H6*I6</f>
        <v>2653.5507385859155</v>
      </c>
      <c r="N6" s="19" t="s">
        <v>159</v>
      </c>
    </row>
    <row r="7" spans="1:14" ht="15.75" thickBot="1" x14ac:dyDescent="0.3">
      <c r="A7" s="14">
        <v>2</v>
      </c>
      <c r="B7" s="9">
        <v>700</v>
      </c>
      <c r="C7" s="43">
        <f>C6/1.1</f>
        <v>0.82644628099173545</v>
      </c>
      <c r="D7" s="9">
        <f t="shared" si="0"/>
        <v>578.51239669421477</v>
      </c>
      <c r="J7" s="38">
        <f>SUM(J5:J6)</f>
        <v>1153.5507385859155</v>
      </c>
      <c r="N7">
        <v>0.1</v>
      </c>
    </row>
    <row r="8" spans="1:14" ht="16.5" thickTop="1" thickBot="1" x14ac:dyDescent="0.3">
      <c r="A8" s="14">
        <v>3</v>
      </c>
      <c r="B8" s="9">
        <v>700</v>
      </c>
      <c r="C8" s="43">
        <f>C7/1.1</f>
        <v>0.75131480090157765</v>
      </c>
      <c r="D8" s="9">
        <f t="shared" si="0"/>
        <v>525.92036063110436</v>
      </c>
      <c r="N8" s="45">
        <f>(1-(1.1)^-5)/0.1</f>
        <v>3.7907867694084505</v>
      </c>
    </row>
    <row r="9" spans="1:14" ht="15.75" thickTop="1" x14ac:dyDescent="0.25">
      <c r="A9" s="14">
        <v>4</v>
      </c>
      <c r="B9" s="9">
        <v>700</v>
      </c>
      <c r="C9" s="43">
        <f>C8/1.1</f>
        <v>0.68301345536507052</v>
      </c>
      <c r="D9" s="9">
        <f t="shared" si="0"/>
        <v>478.10941875554937</v>
      </c>
    </row>
    <row r="10" spans="1:14" x14ac:dyDescent="0.25">
      <c r="A10" s="14">
        <v>5</v>
      </c>
      <c r="B10" s="9">
        <v>700</v>
      </c>
      <c r="C10" s="43">
        <f>C9/1.1</f>
        <v>0.62092132305915493</v>
      </c>
      <c r="D10" s="9">
        <f t="shared" si="0"/>
        <v>434.64492614140846</v>
      </c>
    </row>
    <row r="11" spans="1:14" ht="15.75" thickBot="1" x14ac:dyDescent="0.3">
      <c r="B11" t="s">
        <v>148</v>
      </c>
      <c r="C11" s="44">
        <f>SUM(C6:C10)</f>
        <v>3.7907867694084478</v>
      </c>
      <c r="D11" s="38">
        <f>SUM(D5:D10)</f>
        <v>1153.5507385859132</v>
      </c>
    </row>
    <row r="12" spans="1:14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H21" sqref="H21"/>
    </sheetView>
  </sheetViews>
  <sheetFormatPr defaultRowHeight="15" x14ac:dyDescent="0.25"/>
  <cols>
    <col min="2" max="2" width="12.28515625" bestFit="1" customWidth="1"/>
    <col min="3" max="3" width="11.42578125" customWidth="1"/>
    <col min="4" max="4" width="12.28515625" bestFit="1" customWidth="1"/>
  </cols>
  <sheetData>
    <row r="2" spans="1:12" x14ac:dyDescent="0.25">
      <c r="A2" s="8" t="s">
        <v>160</v>
      </c>
    </row>
    <row r="4" spans="1:12" x14ac:dyDescent="0.25">
      <c r="A4" s="8" t="s">
        <v>42</v>
      </c>
      <c r="B4" s="25" t="s">
        <v>144</v>
      </c>
      <c r="C4" s="25" t="s">
        <v>161</v>
      </c>
      <c r="D4" s="25" t="s">
        <v>146</v>
      </c>
      <c r="K4" t="s">
        <v>162</v>
      </c>
      <c r="L4" t="s">
        <v>163</v>
      </c>
    </row>
    <row r="5" spans="1:12" x14ac:dyDescent="0.25">
      <c r="A5">
        <v>0</v>
      </c>
      <c r="B5" s="9">
        <v>-200000</v>
      </c>
      <c r="C5">
        <v>1</v>
      </c>
      <c r="D5" s="10">
        <f>B5*C5</f>
        <v>-200000</v>
      </c>
      <c r="L5" t="s">
        <v>164</v>
      </c>
    </row>
    <row r="6" spans="1:12" ht="21" x14ac:dyDescent="0.35">
      <c r="A6" t="s">
        <v>165</v>
      </c>
      <c r="B6" s="9">
        <v>20000</v>
      </c>
      <c r="C6">
        <f>1/0.09</f>
        <v>11.111111111111111</v>
      </c>
      <c r="D6" s="10">
        <f>B6*C6</f>
        <v>222222.22222222222</v>
      </c>
      <c r="L6">
        <f>1/0.09</f>
        <v>11.111111111111111</v>
      </c>
    </row>
    <row r="7" spans="1:12" ht="15.75" thickBot="1" x14ac:dyDescent="0.3">
      <c r="C7" t="s">
        <v>148</v>
      </c>
      <c r="D7" s="38">
        <f>SUM(D5:D6)</f>
        <v>22222.222222222219</v>
      </c>
    </row>
    <row r="8" spans="1:12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workbookViewId="0">
      <selection activeCell="J21" sqref="J21"/>
    </sheetView>
  </sheetViews>
  <sheetFormatPr defaultRowHeight="15" x14ac:dyDescent="0.25"/>
  <cols>
    <col min="1" max="1" width="6.28515625" customWidth="1"/>
    <col min="2" max="2" width="10.28515625" bestFit="1" customWidth="1"/>
    <col min="3" max="3" width="10" customWidth="1"/>
    <col min="4" max="4" width="12" customWidth="1"/>
    <col min="5" max="5" width="10.28515625" bestFit="1" customWidth="1"/>
    <col min="9" max="13" width="9.5703125" bestFit="1" customWidth="1"/>
  </cols>
  <sheetData>
    <row r="2" spans="1:18" x14ac:dyDescent="0.25">
      <c r="A2" s="8" t="s">
        <v>166</v>
      </c>
    </row>
    <row r="4" spans="1:18" x14ac:dyDescent="0.25">
      <c r="A4" s="8" t="s">
        <v>42</v>
      </c>
      <c r="B4" s="25" t="s">
        <v>144</v>
      </c>
      <c r="D4" s="8" t="s">
        <v>145</v>
      </c>
      <c r="E4" s="8" t="s">
        <v>146</v>
      </c>
    </row>
    <row r="5" spans="1:18" x14ac:dyDescent="0.25">
      <c r="A5">
        <v>0</v>
      </c>
      <c r="B5" s="9">
        <v>-5000</v>
      </c>
      <c r="D5" s="34">
        <v>1</v>
      </c>
      <c r="E5" s="9">
        <f>B5*D5</f>
        <v>-5000</v>
      </c>
    </row>
    <row r="6" spans="1:18" x14ac:dyDescent="0.25">
      <c r="A6">
        <v>1</v>
      </c>
      <c r="B6" s="9">
        <v>3000</v>
      </c>
      <c r="D6" s="34">
        <f>+D5/1.1</f>
        <v>0.90909090909090906</v>
      </c>
      <c r="E6" s="9">
        <f t="shared" ref="E6:E9" si="0">B6*D6</f>
        <v>2727.272727272727</v>
      </c>
      <c r="I6" t="s">
        <v>167</v>
      </c>
      <c r="J6" t="s">
        <v>168</v>
      </c>
      <c r="K6" t="s">
        <v>117</v>
      </c>
      <c r="L6" t="s">
        <v>169</v>
      </c>
      <c r="M6" t="s">
        <v>170</v>
      </c>
      <c r="N6" t="s">
        <v>171</v>
      </c>
      <c r="O6" t="s">
        <v>172</v>
      </c>
      <c r="P6" t="s">
        <v>173</v>
      </c>
      <c r="Q6" t="s">
        <v>174</v>
      </c>
    </row>
    <row r="7" spans="1:18" ht="21" x14ac:dyDescent="0.35">
      <c r="A7">
        <v>2</v>
      </c>
      <c r="B7" s="9">
        <v>1500</v>
      </c>
      <c r="D7" s="34">
        <f>+D6/1.1</f>
        <v>0.82644628099173545</v>
      </c>
      <c r="E7" s="9">
        <f t="shared" si="0"/>
        <v>1239.6694214876031</v>
      </c>
      <c r="I7" s="9">
        <v>3000</v>
      </c>
      <c r="J7" s="9">
        <v>1500</v>
      </c>
      <c r="K7" s="9">
        <v>1500</v>
      </c>
      <c r="L7" s="9">
        <v>1000</v>
      </c>
      <c r="M7" s="46">
        <v>500</v>
      </c>
      <c r="N7" s="46">
        <v>500</v>
      </c>
      <c r="O7" s="46">
        <v>500</v>
      </c>
      <c r="P7" s="46">
        <v>500</v>
      </c>
      <c r="Q7" s="46">
        <v>500</v>
      </c>
      <c r="R7" s="1" t="s">
        <v>175</v>
      </c>
    </row>
    <row r="8" spans="1:18" x14ac:dyDescent="0.25">
      <c r="A8">
        <v>3</v>
      </c>
      <c r="B8" s="9">
        <v>1500</v>
      </c>
      <c r="D8" s="34">
        <f>+D7/1.1</f>
        <v>0.75131480090157765</v>
      </c>
      <c r="E8" s="9">
        <f t="shared" si="0"/>
        <v>1126.9722013523665</v>
      </c>
      <c r="M8" t="s">
        <v>176</v>
      </c>
    </row>
    <row r="9" spans="1:18" x14ac:dyDescent="0.25">
      <c r="A9">
        <v>4</v>
      </c>
      <c r="B9" s="9">
        <v>1000</v>
      </c>
      <c r="D9" s="34">
        <f>+D8/1.1</f>
        <v>0.68301345536507052</v>
      </c>
      <c r="E9" s="9">
        <f t="shared" si="0"/>
        <v>683.01345536507051</v>
      </c>
      <c r="M9" s="9">
        <f>500/0.1</f>
        <v>5000</v>
      </c>
    </row>
    <row r="10" spans="1:18" ht="21" x14ac:dyDescent="0.35">
      <c r="A10" t="s">
        <v>177</v>
      </c>
      <c r="B10" s="46">
        <v>500</v>
      </c>
      <c r="C10" s="46">
        <f>500/0.1</f>
        <v>5000</v>
      </c>
      <c r="D10" s="34">
        <f>+D9/1.1</f>
        <v>0.62092132305915493</v>
      </c>
      <c r="E10" s="9">
        <f>C10*D10</f>
        <v>3104.6066152957746</v>
      </c>
    </row>
    <row r="11" spans="1:18" ht="15.75" thickBot="1" x14ac:dyDescent="0.3">
      <c r="D11" t="s">
        <v>148</v>
      </c>
      <c r="E11" s="38">
        <f>SUM(E5:E10)</f>
        <v>3881.5344207735416</v>
      </c>
      <c r="F11" t="s">
        <v>178</v>
      </c>
    </row>
    <row r="12" spans="1:18" ht="15.75" thickTop="1" x14ac:dyDescent="0.25"/>
  </sheetData>
  <phoneticPr fontId="14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workbookViewId="0">
      <selection activeCell="G20" sqref="G20"/>
    </sheetView>
  </sheetViews>
  <sheetFormatPr defaultRowHeight="15" x14ac:dyDescent="0.25"/>
  <cols>
    <col min="2" max="2" width="12.28515625" bestFit="1" customWidth="1"/>
    <col min="3" max="3" width="16.5703125" customWidth="1"/>
    <col min="4" max="4" width="14.7109375" customWidth="1"/>
    <col min="6" max="6" width="10.42578125" bestFit="1" customWidth="1"/>
    <col min="7" max="7" width="16.85546875" bestFit="1" customWidth="1"/>
    <col min="8" max="8" width="13" customWidth="1"/>
    <col min="9" max="9" width="13.28515625" customWidth="1"/>
    <col min="10" max="10" width="12.85546875" bestFit="1" customWidth="1"/>
    <col min="11" max="11" width="13.5703125" bestFit="1" customWidth="1"/>
    <col min="12" max="12" width="12.28515625" bestFit="1" customWidth="1"/>
  </cols>
  <sheetData>
    <row r="2" spans="1:10" x14ac:dyDescent="0.25">
      <c r="A2" t="s">
        <v>179</v>
      </c>
      <c r="F2" t="s">
        <v>43</v>
      </c>
      <c r="G2" s="48" t="s">
        <v>180</v>
      </c>
      <c r="H2" s="48" t="s">
        <v>181</v>
      </c>
    </row>
    <row r="3" spans="1:10" x14ac:dyDescent="0.25">
      <c r="B3" t="s">
        <v>182</v>
      </c>
      <c r="F3" t="s">
        <v>43</v>
      </c>
      <c r="G3" s="11" t="s">
        <v>183</v>
      </c>
      <c r="H3" s="11" t="s">
        <v>184</v>
      </c>
    </row>
    <row r="4" spans="1:10" x14ac:dyDescent="0.25">
      <c r="B4" t="s">
        <v>185</v>
      </c>
      <c r="F4" t="s">
        <v>186</v>
      </c>
      <c r="G4" s="11" t="s">
        <v>183</v>
      </c>
      <c r="H4" s="11" t="s">
        <v>184</v>
      </c>
    </row>
    <row r="5" spans="1:10" ht="15.75" thickBot="1" x14ac:dyDescent="0.3">
      <c r="B5" t="s">
        <v>187</v>
      </c>
    </row>
    <row r="6" spans="1:10" x14ac:dyDescent="0.25">
      <c r="F6" s="54" t="s">
        <v>188</v>
      </c>
      <c r="G6" s="55"/>
      <c r="H6" s="55"/>
      <c r="I6" s="56"/>
    </row>
    <row r="7" spans="1:10" ht="15.75" thickBot="1" x14ac:dyDescent="0.3">
      <c r="F7" s="57" t="s">
        <v>189</v>
      </c>
      <c r="G7" s="58"/>
      <c r="H7" s="58"/>
      <c r="I7" s="59"/>
    </row>
    <row r="8" spans="1:10" x14ac:dyDescent="0.25">
      <c r="F8" s="1"/>
    </row>
    <row r="9" spans="1:10" x14ac:dyDescent="0.25">
      <c r="B9" s="172" t="s">
        <v>190</v>
      </c>
      <c r="C9" s="172"/>
      <c r="D9" s="172"/>
      <c r="H9" s="173" t="s">
        <v>191</v>
      </c>
      <c r="I9" s="173"/>
      <c r="J9" s="173"/>
    </row>
    <row r="10" spans="1:10" ht="30" x14ac:dyDescent="0.25">
      <c r="A10" s="11" t="s">
        <v>42</v>
      </c>
      <c r="B10" s="49" t="s">
        <v>192</v>
      </c>
      <c r="C10" s="11" t="s">
        <v>193</v>
      </c>
      <c r="D10" s="49" t="s">
        <v>194</v>
      </c>
      <c r="G10" s="11" t="s">
        <v>42</v>
      </c>
      <c r="H10" s="49" t="s">
        <v>192</v>
      </c>
      <c r="I10" s="11" t="s">
        <v>193</v>
      </c>
      <c r="J10" s="49" t="s">
        <v>194</v>
      </c>
    </row>
    <row r="11" spans="1:10" x14ac:dyDescent="0.25">
      <c r="A11">
        <v>0</v>
      </c>
      <c r="B11" s="9">
        <v>-100000</v>
      </c>
      <c r="C11" s="9">
        <v>1</v>
      </c>
      <c r="D11" s="9">
        <f>B11*C11</f>
        <v>-100000</v>
      </c>
      <c r="G11">
        <v>0</v>
      </c>
      <c r="H11" s="9">
        <v>-100000</v>
      </c>
      <c r="I11" s="9">
        <v>1</v>
      </c>
      <c r="J11" s="9">
        <f>H11*I11</f>
        <v>-100000</v>
      </c>
    </row>
    <row r="12" spans="1:10" x14ac:dyDescent="0.25">
      <c r="A12">
        <v>1</v>
      </c>
      <c r="B12" s="9">
        <v>60000</v>
      </c>
      <c r="C12" s="50" t="s">
        <v>195</v>
      </c>
      <c r="D12" s="9">
        <f>B12*1.05^1</f>
        <v>63000</v>
      </c>
      <c r="G12">
        <v>1</v>
      </c>
      <c r="H12" s="9">
        <v>60000</v>
      </c>
      <c r="I12" s="50">
        <v>1</v>
      </c>
      <c r="J12" s="9">
        <f>H12*1</f>
        <v>60000</v>
      </c>
    </row>
    <row r="13" spans="1:10" x14ac:dyDescent="0.25">
      <c r="A13">
        <v>2</v>
      </c>
      <c r="B13" s="9">
        <v>48000</v>
      </c>
      <c r="C13" s="50" t="s">
        <v>196</v>
      </c>
      <c r="D13" s="9">
        <f>+B13*1.05^2</f>
        <v>52920</v>
      </c>
      <c r="G13">
        <v>2</v>
      </c>
      <c r="H13" s="9">
        <v>48000</v>
      </c>
      <c r="I13" s="50" t="s">
        <v>195</v>
      </c>
      <c r="J13" s="9">
        <f>+H13*1.05^1</f>
        <v>50400</v>
      </c>
    </row>
    <row r="14" spans="1:10" x14ac:dyDescent="0.25">
      <c r="A14">
        <v>3</v>
      </c>
      <c r="B14" s="9">
        <v>53000</v>
      </c>
      <c r="C14" s="50" t="s">
        <v>197</v>
      </c>
      <c r="D14" s="9">
        <f>B14*1.05^3</f>
        <v>61354.125000000007</v>
      </c>
      <c r="G14">
        <v>3</v>
      </c>
      <c r="H14" s="9">
        <v>53000</v>
      </c>
      <c r="I14" s="50" t="s">
        <v>196</v>
      </c>
      <c r="J14" s="9">
        <f>H14*1.05^2</f>
        <v>58432.5</v>
      </c>
    </row>
    <row r="16" spans="1:10" x14ac:dyDescent="0.25">
      <c r="B16" s="1" t="s">
        <v>198</v>
      </c>
    </row>
    <row r="18" spans="1:13" x14ac:dyDescent="0.25">
      <c r="C18" s="11" t="s">
        <v>199</v>
      </c>
      <c r="D18" t="s">
        <v>200</v>
      </c>
      <c r="E18" s="1" t="s">
        <v>201</v>
      </c>
    </row>
    <row r="19" spans="1:13" x14ac:dyDescent="0.25">
      <c r="C19" s="11" t="s">
        <v>202</v>
      </c>
      <c r="D19" t="s">
        <v>203</v>
      </c>
    </row>
    <row r="21" spans="1:13" x14ac:dyDescent="0.25">
      <c r="A21" t="s">
        <v>204</v>
      </c>
      <c r="B21" t="s">
        <v>205</v>
      </c>
      <c r="G21" s="8" t="s">
        <v>206</v>
      </c>
    </row>
    <row r="22" spans="1:13" x14ac:dyDescent="0.25">
      <c r="G22" s="11" t="s">
        <v>207</v>
      </c>
      <c r="H22" s="21" t="s">
        <v>208</v>
      </c>
      <c r="I22" s="174">
        <v>-1</v>
      </c>
    </row>
    <row r="23" spans="1:13" x14ac:dyDescent="0.25">
      <c r="B23" s="11" t="s">
        <v>202</v>
      </c>
      <c r="C23" t="s">
        <v>203</v>
      </c>
      <c r="H23" s="7" t="s">
        <v>209</v>
      </c>
      <c r="I23" s="174"/>
    </row>
    <row r="24" spans="1:13" x14ac:dyDescent="0.25">
      <c r="C24" t="s">
        <v>210</v>
      </c>
    </row>
    <row r="25" spans="1:13" x14ac:dyDescent="0.25">
      <c r="C25" s="52">
        <f>1.1*1.05 - 1</f>
        <v>0.15500000000000025</v>
      </c>
      <c r="H25" s="19" t="s">
        <v>211</v>
      </c>
      <c r="I25" s="174">
        <v>-1</v>
      </c>
    </row>
    <row r="26" spans="1:13" x14ac:dyDescent="0.25">
      <c r="H26" t="s">
        <v>212</v>
      </c>
      <c r="I26" s="174"/>
    </row>
    <row r="28" spans="1:13" x14ac:dyDescent="0.25">
      <c r="H28" s="9">
        <f>1.155/1.05</f>
        <v>1.1000000000000001</v>
      </c>
      <c r="I28" s="14">
        <v>-1</v>
      </c>
    </row>
    <row r="29" spans="1:13" x14ac:dyDescent="0.25">
      <c r="H29" s="53">
        <v>0.1</v>
      </c>
    </row>
    <row r="30" spans="1:13" x14ac:dyDescent="0.25">
      <c r="A30" t="s">
        <v>204</v>
      </c>
      <c r="D30" s="11" t="s">
        <v>213</v>
      </c>
    </row>
    <row r="31" spans="1:13" ht="30" x14ac:dyDescent="0.25">
      <c r="A31" s="8" t="s">
        <v>42</v>
      </c>
      <c r="B31" s="25" t="s">
        <v>214</v>
      </c>
      <c r="C31" s="25" t="s">
        <v>215</v>
      </c>
      <c r="D31" s="25" t="s">
        <v>146</v>
      </c>
      <c r="G31" s="8" t="s">
        <v>42</v>
      </c>
      <c r="H31" s="25" t="s">
        <v>214</v>
      </c>
      <c r="I31" s="8" t="s">
        <v>216</v>
      </c>
      <c r="J31" s="8" t="s">
        <v>217</v>
      </c>
      <c r="K31" s="61" t="s">
        <v>218</v>
      </c>
      <c r="L31" s="25" t="s">
        <v>146</v>
      </c>
      <c r="M31" s="11"/>
    </row>
    <row r="32" spans="1:13" x14ac:dyDescent="0.25">
      <c r="A32">
        <v>0</v>
      </c>
      <c r="B32" s="9">
        <v>-100000</v>
      </c>
      <c r="C32" s="34">
        <v>1</v>
      </c>
      <c r="D32" s="60">
        <f>+B32*C32</f>
        <v>-100000</v>
      </c>
      <c r="G32">
        <v>0</v>
      </c>
      <c r="H32" s="9">
        <v>-100000</v>
      </c>
      <c r="I32" s="11">
        <v>1</v>
      </c>
      <c r="J32" s="9">
        <f>H32*I32</f>
        <v>-100000</v>
      </c>
      <c r="K32" s="34">
        <v>1</v>
      </c>
      <c r="L32" s="50">
        <f>J32*K32</f>
        <v>-100000</v>
      </c>
      <c r="M32" s="25"/>
    </row>
    <row r="33" spans="1:13" x14ac:dyDescent="0.25">
      <c r="A33">
        <v>1</v>
      </c>
      <c r="B33" s="9">
        <v>25000</v>
      </c>
      <c r="C33" s="34">
        <f>1/1.12</f>
        <v>0.89285714285714279</v>
      </c>
      <c r="D33" s="60">
        <f t="shared" ref="D33:D36" si="0">+B33*C33</f>
        <v>22321.428571428569</v>
      </c>
      <c r="G33">
        <v>1</v>
      </c>
      <c r="H33" s="9">
        <v>25000</v>
      </c>
      <c r="I33" s="11" t="s">
        <v>219</v>
      </c>
      <c r="J33" s="9">
        <f>+H33*1.04^1</f>
        <v>26000</v>
      </c>
      <c r="K33" s="34">
        <f>K32/1.1648</f>
        <v>0.85851648351648346</v>
      </c>
      <c r="L33" s="50">
        <f t="shared" ref="L33:L36" si="1">J33*K33</f>
        <v>22321.428571428569</v>
      </c>
      <c r="M33" s="60"/>
    </row>
    <row r="34" spans="1:13" x14ac:dyDescent="0.25">
      <c r="A34">
        <v>2</v>
      </c>
      <c r="B34" s="9">
        <v>35000</v>
      </c>
      <c r="C34" s="34">
        <f>+C33/1.12</f>
        <v>0.79719387755102022</v>
      </c>
      <c r="D34" s="60">
        <f t="shared" si="0"/>
        <v>27901.785714285706</v>
      </c>
      <c r="G34">
        <v>2</v>
      </c>
      <c r="H34" s="9">
        <v>35000</v>
      </c>
      <c r="I34" s="11" t="s">
        <v>220</v>
      </c>
      <c r="J34" s="9">
        <f>+H34*1.04^2</f>
        <v>37856.000000000007</v>
      </c>
      <c r="K34" s="34">
        <f>+K33/1.1648</f>
        <v>0.73705055246950846</v>
      </c>
      <c r="L34" s="50">
        <f t="shared" si="1"/>
        <v>27901.785714285717</v>
      </c>
      <c r="M34" s="60"/>
    </row>
    <row r="35" spans="1:13" x14ac:dyDescent="0.25">
      <c r="A35">
        <v>3</v>
      </c>
      <c r="B35" s="9">
        <v>50000</v>
      </c>
      <c r="C35" s="34">
        <f t="shared" ref="C35:C36" si="2">+C34/1.12</f>
        <v>0.71178024781341087</v>
      </c>
      <c r="D35" s="60">
        <f t="shared" si="0"/>
        <v>35589.012390670541</v>
      </c>
      <c r="G35">
        <v>3</v>
      </c>
      <c r="H35" s="9">
        <v>50000</v>
      </c>
      <c r="I35" s="11" t="s">
        <v>221</v>
      </c>
      <c r="J35" s="9">
        <f>+H35*1.04^3</f>
        <v>56243.200000000004</v>
      </c>
      <c r="K35" s="34">
        <f t="shared" ref="K35:K36" si="3">+K34/1.1648</f>
        <v>0.63277004848000384</v>
      </c>
      <c r="L35" s="50">
        <f t="shared" si="1"/>
        <v>35589.012390670556</v>
      </c>
      <c r="M35" s="60"/>
    </row>
    <row r="36" spans="1:13" x14ac:dyDescent="0.25">
      <c r="A36">
        <v>4</v>
      </c>
      <c r="B36" s="9">
        <v>45000</v>
      </c>
      <c r="C36" s="34">
        <f t="shared" si="2"/>
        <v>0.6355180784048311</v>
      </c>
      <c r="D36" s="60">
        <f t="shared" si="0"/>
        <v>28598.313528217401</v>
      </c>
      <c r="G36">
        <v>4</v>
      </c>
      <c r="H36" s="9">
        <v>45000</v>
      </c>
      <c r="I36" s="11" t="s">
        <v>222</v>
      </c>
      <c r="J36" s="9">
        <f>+H36*1.04^4</f>
        <v>52643.635200000012</v>
      </c>
      <c r="K36" s="34">
        <f t="shared" si="3"/>
        <v>0.54324351689560768</v>
      </c>
      <c r="L36" s="50">
        <f t="shared" si="1"/>
        <v>28598.313528217415</v>
      </c>
      <c r="M36" s="60"/>
    </row>
    <row r="37" spans="1:13" ht="15.75" thickBot="1" x14ac:dyDescent="0.3">
      <c r="C37" s="8" t="s">
        <v>148</v>
      </c>
      <c r="D37" s="62">
        <f>SUM(D32:D36)</f>
        <v>14410.540204602217</v>
      </c>
      <c r="K37" s="8" t="s">
        <v>148</v>
      </c>
      <c r="L37" s="63">
        <f>SUM(L32:L36)</f>
        <v>14410.540204602254</v>
      </c>
      <c r="M37" s="60"/>
    </row>
    <row r="38" spans="1:13" ht="15.75" thickTop="1" x14ac:dyDescent="0.25">
      <c r="B38" t="s">
        <v>223</v>
      </c>
      <c r="M38" s="60"/>
    </row>
    <row r="40" spans="1:13" x14ac:dyDescent="0.25">
      <c r="H40" t="s">
        <v>224</v>
      </c>
    </row>
    <row r="41" spans="1:13" x14ac:dyDescent="0.25">
      <c r="H41" t="s">
        <v>225</v>
      </c>
      <c r="J41">
        <f>1.12*1.04</f>
        <v>1.1648000000000001</v>
      </c>
    </row>
    <row r="42" spans="1:13" x14ac:dyDescent="0.25">
      <c r="H42" t="s">
        <v>226</v>
      </c>
    </row>
  </sheetData>
  <mergeCells count="4">
    <mergeCell ref="B9:D9"/>
    <mergeCell ref="H9:J9"/>
    <mergeCell ref="I22:I23"/>
    <mergeCell ref="I25:I2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D23" sqref="D23"/>
    </sheetView>
  </sheetViews>
  <sheetFormatPr defaultRowHeight="15" x14ac:dyDescent="0.25"/>
  <cols>
    <col min="2" max="2" width="14.140625" customWidth="1"/>
    <col min="3" max="3" width="17.28515625" bestFit="1" customWidth="1"/>
    <col min="4" max="4" width="15.85546875" customWidth="1"/>
    <col min="5" max="5" width="16.7109375" customWidth="1"/>
    <col min="6" max="6" width="11" bestFit="1" customWidth="1"/>
    <col min="7" max="7" width="10.85546875" customWidth="1"/>
  </cols>
  <sheetData>
    <row r="2" spans="1:9" x14ac:dyDescent="0.25">
      <c r="A2" s="8" t="s">
        <v>227</v>
      </c>
    </row>
    <row r="3" spans="1:9" x14ac:dyDescent="0.25">
      <c r="A3" s="8"/>
    </row>
    <row r="4" spans="1:9" x14ac:dyDescent="0.25">
      <c r="A4" s="8" t="s">
        <v>228</v>
      </c>
    </row>
    <row r="5" spans="1:9" x14ac:dyDescent="0.25">
      <c r="A5" t="s">
        <v>42</v>
      </c>
      <c r="B5" s="8" t="s">
        <v>229</v>
      </c>
      <c r="C5" s="25" t="s">
        <v>230</v>
      </c>
      <c r="D5" s="25" t="s">
        <v>231</v>
      </c>
      <c r="E5" s="8" t="s">
        <v>232</v>
      </c>
      <c r="F5" s="8" t="s">
        <v>233</v>
      </c>
      <c r="G5" s="8" t="s">
        <v>234</v>
      </c>
      <c r="H5" s="25" t="s">
        <v>146</v>
      </c>
    </row>
    <row r="6" spans="1:9" x14ac:dyDescent="0.25">
      <c r="A6">
        <v>0</v>
      </c>
      <c r="B6" s="9">
        <v>-5</v>
      </c>
      <c r="F6" s="10">
        <f>SUM(B6:E6)</f>
        <v>-5</v>
      </c>
      <c r="G6">
        <v>1</v>
      </c>
      <c r="H6" s="10">
        <f>F6*G6</f>
        <v>-5</v>
      </c>
    </row>
    <row r="7" spans="1:9" x14ac:dyDescent="0.25">
      <c r="A7">
        <v>1</v>
      </c>
      <c r="C7" s="9">
        <f>1*15*1.02^1</f>
        <v>15.3</v>
      </c>
      <c r="D7" s="9">
        <f>-1*3*1.12^1</f>
        <v>-3.3600000000000003</v>
      </c>
      <c r="E7" s="9">
        <f>-1*7*1.08^1</f>
        <v>-7.5600000000000005</v>
      </c>
      <c r="F7" s="10">
        <f>SUM(B7:E7)</f>
        <v>4.3800000000000008</v>
      </c>
      <c r="G7" s="34">
        <f>1/1.15</f>
        <v>0.86956521739130443</v>
      </c>
      <c r="H7" s="10">
        <f>F7*G7</f>
        <v>3.8086956521739141</v>
      </c>
    </row>
    <row r="8" spans="1:9" x14ac:dyDescent="0.25">
      <c r="C8" t="s">
        <v>235</v>
      </c>
      <c r="D8" t="s">
        <v>236</v>
      </c>
      <c r="E8" t="s">
        <v>237</v>
      </c>
      <c r="G8" s="34"/>
    </row>
    <row r="9" spans="1:9" x14ac:dyDescent="0.25">
      <c r="A9">
        <v>2</v>
      </c>
      <c r="C9" s="9">
        <f>+C7*1.02</f>
        <v>15.606000000000002</v>
      </c>
      <c r="D9" s="9">
        <f>+D7*1.12</f>
        <v>-3.7632000000000008</v>
      </c>
      <c r="E9" s="10">
        <f>E7*1.08</f>
        <v>-8.1648000000000014</v>
      </c>
      <c r="F9" s="10">
        <f>SUM(B9:E9)</f>
        <v>3.677999999999999</v>
      </c>
      <c r="G9" s="34">
        <f>+G7/1.15</f>
        <v>0.7561436672967865</v>
      </c>
      <c r="H9" s="10">
        <f>F9*G9</f>
        <v>2.78109640831758</v>
      </c>
    </row>
    <row r="10" spans="1:9" x14ac:dyDescent="0.25">
      <c r="C10" t="s">
        <v>238</v>
      </c>
      <c r="D10" t="s">
        <v>239</v>
      </c>
      <c r="E10" t="s">
        <v>240</v>
      </c>
      <c r="G10" s="34"/>
    </row>
    <row r="11" spans="1:9" x14ac:dyDescent="0.25">
      <c r="A11">
        <v>3</v>
      </c>
      <c r="C11" s="9">
        <f>+C9*1.02</f>
        <v>15.918120000000002</v>
      </c>
      <c r="D11" s="10">
        <f>D9*1.12</f>
        <v>-4.2147840000000016</v>
      </c>
      <c r="E11" s="10">
        <f>E9*1.08</f>
        <v>-8.8179840000000027</v>
      </c>
      <c r="F11" s="10">
        <f>SUM(B11:E11)</f>
        <v>2.8853519999999975</v>
      </c>
      <c r="G11" s="34">
        <f>+G9/1.15</f>
        <v>0.65751623243198831</v>
      </c>
      <c r="H11" s="10">
        <f>F11*G11</f>
        <v>1.8971657762801006</v>
      </c>
    </row>
    <row r="12" spans="1:9" ht="15.75" thickBot="1" x14ac:dyDescent="0.3">
      <c r="C12" t="s">
        <v>241</v>
      </c>
      <c r="D12" t="s">
        <v>242</v>
      </c>
      <c r="E12" t="s">
        <v>243</v>
      </c>
      <c r="G12" s="64" t="s">
        <v>148</v>
      </c>
      <c r="H12" s="65">
        <f>SUM(H6:H11)</f>
        <v>3.4869578367715945</v>
      </c>
      <c r="I12" s="1" t="s">
        <v>244</v>
      </c>
    </row>
    <row r="13" spans="1:9" ht="15.75" thickTop="1" x14ac:dyDescent="0.25"/>
    <row r="14" spans="1:9" x14ac:dyDescent="0.25">
      <c r="A14" t="s">
        <v>245</v>
      </c>
    </row>
    <row r="15" spans="1:9" x14ac:dyDescent="0.25">
      <c r="B15" t="s">
        <v>246</v>
      </c>
      <c r="C15" s="9">
        <v>2</v>
      </c>
    </row>
    <row r="16" spans="1:9" x14ac:dyDescent="0.25">
      <c r="B16" t="s">
        <v>247</v>
      </c>
      <c r="C16" s="9">
        <v>2</v>
      </c>
    </row>
    <row r="17" spans="2:4" x14ac:dyDescent="0.25">
      <c r="B17" t="s">
        <v>248</v>
      </c>
      <c r="C17" s="9">
        <v>3</v>
      </c>
      <c r="D17" t="s">
        <v>249</v>
      </c>
    </row>
    <row r="18" spans="2:4" ht="15.75" thickBot="1" x14ac:dyDescent="0.3">
      <c r="C18" s="38">
        <f>SUM(C15:C17)</f>
        <v>7</v>
      </c>
    </row>
    <row r="19" spans="2:4" ht="15.75" thickTop="1" x14ac:dyDescent="0.25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J22" sqref="J22"/>
    </sheetView>
  </sheetViews>
  <sheetFormatPr defaultRowHeight="15" x14ac:dyDescent="0.25"/>
  <cols>
    <col min="1" max="1" width="20.42578125" bestFit="1" customWidth="1"/>
    <col min="3" max="3" width="11.5703125" bestFit="1" customWidth="1"/>
    <col min="5" max="5" width="27.85546875" customWidth="1"/>
    <col min="8" max="8" width="12.28515625" bestFit="1" customWidth="1"/>
  </cols>
  <sheetData>
    <row r="2" spans="1:7" x14ac:dyDescent="0.25">
      <c r="A2" t="s">
        <v>250</v>
      </c>
    </row>
    <row r="4" spans="1:7" x14ac:dyDescent="0.25">
      <c r="A4" t="s">
        <v>251</v>
      </c>
      <c r="B4" s="11" t="s">
        <v>252</v>
      </c>
      <c r="E4" t="s">
        <v>253</v>
      </c>
    </row>
    <row r="5" spans="1:7" x14ac:dyDescent="0.25">
      <c r="A5" t="s">
        <v>254</v>
      </c>
      <c r="B5" s="69" t="s">
        <v>255</v>
      </c>
    </row>
    <row r="6" spans="1:7" x14ac:dyDescent="0.25">
      <c r="A6" t="s">
        <v>256</v>
      </c>
      <c r="B6" s="11" t="s">
        <v>252</v>
      </c>
      <c r="E6" t="s">
        <v>257</v>
      </c>
      <c r="G6" s="11" t="s">
        <v>252</v>
      </c>
    </row>
    <row r="7" spans="1:7" x14ac:dyDescent="0.25">
      <c r="A7" t="s">
        <v>258</v>
      </c>
      <c r="B7" s="69" t="s">
        <v>259</v>
      </c>
      <c r="E7" t="s">
        <v>260</v>
      </c>
    </row>
    <row r="8" spans="1:7" x14ac:dyDescent="0.25">
      <c r="A8" t="s">
        <v>261</v>
      </c>
      <c r="B8" s="11" t="s">
        <v>252</v>
      </c>
      <c r="E8" s="67" t="s">
        <v>133</v>
      </c>
      <c r="F8" s="11" t="s">
        <v>255</v>
      </c>
    </row>
    <row r="9" spans="1:7" x14ac:dyDescent="0.25">
      <c r="A9" t="s">
        <v>262</v>
      </c>
      <c r="B9" s="11" t="s">
        <v>263</v>
      </c>
      <c r="E9" s="67" t="s">
        <v>264</v>
      </c>
      <c r="F9" s="11" t="s">
        <v>265</v>
      </c>
      <c r="G9" s="11" t="s">
        <v>259</v>
      </c>
    </row>
    <row r="10" spans="1:7" ht="15.75" thickBot="1" x14ac:dyDescent="0.3">
      <c r="A10" t="s">
        <v>266</v>
      </c>
      <c r="B10" s="68" t="s">
        <v>252</v>
      </c>
      <c r="E10" t="s">
        <v>267</v>
      </c>
      <c r="G10" s="68" t="s">
        <v>252</v>
      </c>
    </row>
    <row r="11" spans="1:7" ht="15.75" thickTop="1" x14ac:dyDescent="0.25"/>
    <row r="12" spans="1:7" x14ac:dyDescent="0.25">
      <c r="A12" t="s">
        <v>268</v>
      </c>
    </row>
    <row r="13" spans="1:7" x14ac:dyDescent="0.25">
      <c r="A13" t="s">
        <v>269</v>
      </c>
    </row>
    <row r="14" spans="1:7" x14ac:dyDescent="0.25">
      <c r="A14" t="s">
        <v>270</v>
      </c>
    </row>
    <row r="16" spans="1:7" x14ac:dyDescent="0.25">
      <c r="E16" s="11" t="s">
        <v>271</v>
      </c>
    </row>
    <row r="23" spans="1:8" x14ac:dyDescent="0.25">
      <c r="A23" t="s">
        <v>272</v>
      </c>
      <c r="C23" s="9">
        <v>100000</v>
      </c>
      <c r="E23" s="9">
        <v>75000</v>
      </c>
      <c r="H23" s="10">
        <f>+C23+E23</f>
        <v>175000</v>
      </c>
    </row>
    <row r="24" spans="1:8" x14ac:dyDescent="0.25">
      <c r="A24" t="s">
        <v>273</v>
      </c>
      <c r="C24" s="9">
        <v>50000</v>
      </c>
      <c r="D24" s="9"/>
      <c r="E24" s="9">
        <v>25000</v>
      </c>
      <c r="H24" s="10">
        <f>+C24+E24</f>
        <v>75000</v>
      </c>
    </row>
    <row r="25" spans="1:8" x14ac:dyDescent="0.25">
      <c r="C25" s="10">
        <f>SUM(C23:C24)</f>
        <v>150000</v>
      </c>
      <c r="E25" s="10">
        <f>SUM(E23:E24)</f>
        <v>100000</v>
      </c>
      <c r="H25" s="10">
        <f>+C25+E25</f>
        <v>250000</v>
      </c>
    </row>
    <row r="26" spans="1:8" x14ac:dyDescent="0.25">
      <c r="A26" t="s">
        <v>258</v>
      </c>
      <c r="C26" s="9">
        <v>-75000</v>
      </c>
      <c r="D26" s="9"/>
      <c r="E26" s="9">
        <v>-125000</v>
      </c>
      <c r="H26" s="10">
        <f>+C26+E26</f>
        <v>-200000</v>
      </c>
    </row>
    <row r="27" spans="1:8" x14ac:dyDescent="0.25">
      <c r="A27" t="s">
        <v>261</v>
      </c>
      <c r="C27" s="10">
        <f>SUM(C25:C26)</f>
        <v>75000</v>
      </c>
      <c r="E27" s="10">
        <f>SUM(E25:E26)</f>
        <v>-25000</v>
      </c>
      <c r="H27" s="10">
        <f>+C27+E27</f>
        <v>50000</v>
      </c>
    </row>
    <row r="28" spans="1:8" x14ac:dyDescent="0.25">
      <c r="A28" t="s">
        <v>274</v>
      </c>
      <c r="C28" s="3">
        <v>0.2</v>
      </c>
      <c r="E28" s="3">
        <v>0.2</v>
      </c>
      <c r="H28" s="3">
        <v>0.2</v>
      </c>
    </row>
    <row r="29" spans="1:8" x14ac:dyDescent="0.25">
      <c r="A29" t="s">
        <v>275</v>
      </c>
      <c r="C29" s="10">
        <f>C27*C28</f>
        <v>15000</v>
      </c>
      <c r="E29" s="70">
        <f>E27*E28</f>
        <v>-5000</v>
      </c>
      <c r="H29" s="10">
        <f>H27*H28</f>
        <v>10000</v>
      </c>
    </row>
    <row r="33" spans="1:5" x14ac:dyDescent="0.25">
      <c r="E33" t="s">
        <v>276</v>
      </c>
    </row>
    <row r="35" spans="1:5" x14ac:dyDescent="0.25">
      <c r="A35" t="s">
        <v>277</v>
      </c>
    </row>
    <row r="36" spans="1:5" x14ac:dyDescent="0.25">
      <c r="A36" t="s">
        <v>278</v>
      </c>
    </row>
    <row r="38" spans="1:5" x14ac:dyDescent="0.25">
      <c r="A38" t="s">
        <v>279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J22" sqref="J22"/>
    </sheetView>
  </sheetViews>
  <sheetFormatPr defaultRowHeight="15" x14ac:dyDescent="0.25"/>
  <cols>
    <col min="2" max="2" width="10.28515625" bestFit="1" customWidth="1"/>
  </cols>
  <sheetData>
    <row r="2" spans="1:12" x14ac:dyDescent="0.25">
      <c r="A2" s="8" t="s">
        <v>280</v>
      </c>
    </row>
    <row r="3" spans="1:12" x14ac:dyDescent="0.25">
      <c r="B3" s="11" t="s">
        <v>148</v>
      </c>
    </row>
    <row r="4" spans="1:12" x14ac:dyDescent="0.25">
      <c r="B4" s="9">
        <v>6000</v>
      </c>
    </row>
    <row r="5" spans="1:12" x14ac:dyDescent="0.25">
      <c r="B5" s="9">
        <v>5000</v>
      </c>
    </row>
    <row r="6" spans="1:12" x14ac:dyDescent="0.25">
      <c r="B6" s="9">
        <v>4000</v>
      </c>
    </row>
    <row r="7" spans="1:12" x14ac:dyDescent="0.25">
      <c r="B7" s="9">
        <v>3000</v>
      </c>
    </row>
    <row r="8" spans="1:12" x14ac:dyDescent="0.25">
      <c r="B8" s="9">
        <v>2000</v>
      </c>
    </row>
    <row r="9" spans="1:12" x14ac:dyDescent="0.25">
      <c r="B9" s="9">
        <v>1000</v>
      </c>
      <c r="H9" s="4">
        <v>0.104</v>
      </c>
      <c r="L9" s="1"/>
    </row>
    <row r="10" spans="1:12" x14ac:dyDescent="0.25">
      <c r="B10" s="9">
        <v>0</v>
      </c>
      <c r="H10" s="11" t="s">
        <v>281</v>
      </c>
    </row>
    <row r="11" spans="1:12" x14ac:dyDescent="0.25">
      <c r="B11" s="9">
        <v>-1000</v>
      </c>
      <c r="C11" s="3">
        <v>0.02</v>
      </c>
      <c r="D11" s="3">
        <v>0.04</v>
      </c>
      <c r="E11" s="3">
        <v>0.06</v>
      </c>
      <c r="F11" s="3">
        <v>0.08</v>
      </c>
      <c r="G11" s="3">
        <v>0.1</v>
      </c>
      <c r="H11" s="3">
        <v>0.12</v>
      </c>
      <c r="I11" s="3">
        <v>0.14000000000000001</v>
      </c>
      <c r="K11" t="s">
        <v>282</v>
      </c>
    </row>
    <row r="12" spans="1:12" x14ac:dyDescent="0.25">
      <c r="B12" s="9">
        <v>-2000</v>
      </c>
    </row>
    <row r="13" spans="1:12" x14ac:dyDescent="0.25">
      <c r="B13" s="9">
        <v>-3000</v>
      </c>
    </row>
    <row r="14" spans="1:12" x14ac:dyDescent="0.25">
      <c r="B14" s="9">
        <v>-4000</v>
      </c>
    </row>
    <row r="15" spans="1:12" x14ac:dyDescent="0.25">
      <c r="B15" s="9">
        <v>-5000</v>
      </c>
    </row>
    <row r="16" spans="1:12" x14ac:dyDescent="0.25">
      <c r="B16" s="9">
        <v>-6000</v>
      </c>
    </row>
    <row r="17" spans="2:2" x14ac:dyDescent="0.25">
      <c r="B17" s="9">
        <v>-7000</v>
      </c>
    </row>
    <row r="18" spans="2:2" x14ac:dyDescent="0.25">
      <c r="B18" s="9">
        <v>-8000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C22" sqref="C22"/>
    </sheetView>
  </sheetViews>
  <sheetFormatPr defaultRowHeight="15" x14ac:dyDescent="0.25"/>
  <cols>
    <col min="6" max="6" width="9.5703125" bestFit="1" customWidth="1"/>
  </cols>
  <sheetData>
    <row r="2" spans="1:11" x14ac:dyDescent="0.25">
      <c r="A2" s="8" t="s">
        <v>283</v>
      </c>
    </row>
    <row r="6" spans="1:11" x14ac:dyDescent="0.25">
      <c r="B6" t="s">
        <v>281</v>
      </c>
      <c r="C6" s="74" t="s">
        <v>284</v>
      </c>
      <c r="D6" s="175" t="s">
        <v>34</v>
      </c>
      <c r="E6" s="177" t="s">
        <v>285</v>
      </c>
      <c r="F6" s="178" t="s">
        <v>286</v>
      </c>
      <c r="G6" s="178"/>
      <c r="H6" s="178"/>
      <c r="I6" s="175" t="s">
        <v>287</v>
      </c>
      <c r="J6" s="175" t="s">
        <v>288</v>
      </c>
      <c r="K6" s="11" t="s">
        <v>289</v>
      </c>
    </row>
    <row r="7" spans="1:11" x14ac:dyDescent="0.25">
      <c r="D7" s="175"/>
      <c r="E7" s="177"/>
      <c r="F7" s="11" t="s">
        <v>290</v>
      </c>
      <c r="G7" s="75" t="s">
        <v>291</v>
      </c>
      <c r="H7" t="s">
        <v>292</v>
      </c>
      <c r="I7" s="175"/>
      <c r="J7" s="175"/>
    </row>
    <row r="10" spans="1:11" x14ac:dyDescent="0.25">
      <c r="D10" s="176">
        <v>0.1</v>
      </c>
      <c r="E10" s="177" t="s">
        <v>285</v>
      </c>
      <c r="F10" s="178">
        <v>1000</v>
      </c>
      <c r="G10" s="178"/>
      <c r="H10" s="178"/>
      <c r="I10" s="175" t="s">
        <v>287</v>
      </c>
      <c r="J10" s="175" t="s">
        <v>293</v>
      </c>
      <c r="K10" s="11" t="s">
        <v>289</v>
      </c>
    </row>
    <row r="11" spans="1:11" x14ac:dyDescent="0.25">
      <c r="D11" s="175"/>
      <c r="E11" s="177"/>
      <c r="F11">
        <v>1000</v>
      </c>
      <c r="G11" s="75" t="s">
        <v>291</v>
      </c>
      <c r="H11" s="76">
        <v>-3550</v>
      </c>
      <c r="I11" s="175"/>
      <c r="J11" s="175"/>
    </row>
    <row r="14" spans="1:11" x14ac:dyDescent="0.25">
      <c r="D14" s="176">
        <v>0.1</v>
      </c>
      <c r="E14" s="177" t="s">
        <v>285</v>
      </c>
      <c r="F14" s="15">
        <v>1000</v>
      </c>
      <c r="G14" s="175" t="s">
        <v>287</v>
      </c>
      <c r="H14" s="176">
        <v>0.02</v>
      </c>
      <c r="I14" s="11" t="s">
        <v>289</v>
      </c>
    </row>
    <row r="15" spans="1:11" x14ac:dyDescent="0.25">
      <c r="D15" s="175"/>
      <c r="E15" s="177"/>
      <c r="F15" s="9">
        <v>4550</v>
      </c>
      <c r="G15" s="175"/>
      <c r="H15" s="175"/>
    </row>
    <row r="18" spans="4:9" x14ac:dyDescent="0.25">
      <c r="D18">
        <v>0.1</v>
      </c>
      <c r="E18" s="77" t="s">
        <v>285</v>
      </c>
      <c r="F18">
        <f>1000/4550</f>
        <v>0.21978021978021978</v>
      </c>
      <c r="G18" t="s">
        <v>287</v>
      </c>
      <c r="H18">
        <v>0.02</v>
      </c>
      <c r="I18" s="11" t="s">
        <v>289</v>
      </c>
    </row>
    <row r="20" spans="4:9" x14ac:dyDescent="0.25">
      <c r="D20">
        <v>0.1</v>
      </c>
      <c r="E20" s="77" t="s">
        <v>285</v>
      </c>
      <c r="F20" s="35">
        <f>+F18*H18</f>
        <v>4.3956043956043956E-3</v>
      </c>
      <c r="G20" s="11" t="s">
        <v>289</v>
      </c>
    </row>
    <row r="22" spans="4:9" x14ac:dyDescent="0.25">
      <c r="E22" s="78">
        <f>D20+F20</f>
        <v>0.1043956043956044</v>
      </c>
    </row>
    <row r="24" spans="4:9" x14ac:dyDescent="0.25">
      <c r="E24" s="51">
        <f>+D20+F20</f>
        <v>0.1043956043956044</v>
      </c>
    </row>
  </sheetData>
  <mergeCells count="14">
    <mergeCell ref="E14:E15"/>
    <mergeCell ref="D14:D15"/>
    <mergeCell ref="G14:G15"/>
    <mergeCell ref="H14:H15"/>
    <mergeCell ref="D6:D7"/>
    <mergeCell ref="E6:E7"/>
    <mergeCell ref="F6:H6"/>
    <mergeCell ref="I6:I7"/>
    <mergeCell ref="J6:J7"/>
    <mergeCell ref="D10:D11"/>
    <mergeCell ref="E10:E11"/>
    <mergeCell ref="F10:H10"/>
    <mergeCell ref="I10:I11"/>
    <mergeCell ref="J10:J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F21" sqref="F21"/>
    </sheetView>
  </sheetViews>
  <sheetFormatPr defaultRowHeight="15" x14ac:dyDescent="0.25"/>
  <cols>
    <col min="1" max="1" width="34.28515625" customWidth="1"/>
    <col min="2" max="2" width="11.85546875" customWidth="1"/>
    <col min="3" max="3" width="11.5703125" bestFit="1" customWidth="1"/>
    <col min="4" max="5" width="11.28515625" bestFit="1" customWidth="1"/>
    <col min="6" max="6" width="12.5703125" customWidth="1"/>
    <col min="7" max="8" width="11.28515625" bestFit="1" customWidth="1"/>
    <col min="9" max="9" width="14.140625" customWidth="1"/>
    <col min="10" max="10" width="11.28515625" bestFit="1" customWidth="1"/>
    <col min="11" max="11" width="10.5703125" bestFit="1" customWidth="1"/>
  </cols>
  <sheetData>
    <row r="2" spans="1:11" x14ac:dyDescent="0.25">
      <c r="A2" s="8" t="s">
        <v>294</v>
      </c>
    </row>
    <row r="4" spans="1:11" x14ac:dyDescent="0.25">
      <c r="A4" t="s">
        <v>295</v>
      </c>
    </row>
    <row r="5" spans="1:11" ht="31.5" customHeight="1" x14ac:dyDescent="0.25">
      <c r="A5" s="25" t="s">
        <v>42</v>
      </c>
      <c r="B5" s="25" t="s">
        <v>0</v>
      </c>
      <c r="C5" s="71" t="s">
        <v>230</v>
      </c>
      <c r="D5" s="25" t="s">
        <v>296</v>
      </c>
      <c r="E5" s="25" t="s">
        <v>231</v>
      </c>
      <c r="F5" s="25" t="s">
        <v>297</v>
      </c>
      <c r="G5" s="61" t="s">
        <v>275</v>
      </c>
      <c r="H5" s="25" t="s">
        <v>144</v>
      </c>
      <c r="I5" s="25" t="s">
        <v>298</v>
      </c>
      <c r="J5" s="25" t="s">
        <v>146</v>
      </c>
    </row>
    <row r="6" spans="1:11" x14ac:dyDescent="0.25">
      <c r="A6">
        <v>0</v>
      </c>
      <c r="B6" s="9">
        <v>-75000</v>
      </c>
      <c r="G6" s="72">
        <v>0</v>
      </c>
      <c r="H6" s="10">
        <f>SUM(B6:G6)</f>
        <v>-75000</v>
      </c>
      <c r="I6" s="34">
        <v>1</v>
      </c>
      <c r="J6" s="9">
        <f>H6*I6</f>
        <v>-75000</v>
      </c>
    </row>
    <row r="7" spans="1:11" x14ac:dyDescent="0.25">
      <c r="A7">
        <v>1</v>
      </c>
      <c r="C7" s="9">
        <v>120000</v>
      </c>
      <c r="D7" s="9">
        <v>-50000</v>
      </c>
      <c r="E7" s="9">
        <v>-30000</v>
      </c>
      <c r="F7" s="9">
        <v>-5000</v>
      </c>
      <c r="G7" s="9">
        <v>0</v>
      </c>
      <c r="H7" s="10">
        <f>SUM(B7:G7)</f>
        <v>35000</v>
      </c>
      <c r="I7" s="34">
        <f>+I6/1.12</f>
        <v>0.89285714285714279</v>
      </c>
      <c r="J7" s="9">
        <f t="shared" ref="J7:J10" si="0">H7*I7</f>
        <v>31249.999999999996</v>
      </c>
    </row>
    <row r="8" spans="1:11" x14ac:dyDescent="0.25">
      <c r="A8">
        <v>2</v>
      </c>
      <c r="C8" s="9">
        <v>130000</v>
      </c>
      <c r="D8" s="9">
        <v>-55000</v>
      </c>
      <c r="E8" s="9">
        <v>-35000</v>
      </c>
      <c r="F8" s="9">
        <v>-10000</v>
      </c>
      <c r="G8" s="10">
        <f>+C21</f>
        <v>700.00000000000011</v>
      </c>
      <c r="H8" s="10">
        <f>SUM(B8:G8)</f>
        <v>30700</v>
      </c>
      <c r="I8" s="34">
        <f>+I7/1.12</f>
        <v>0.79719387755102022</v>
      </c>
      <c r="J8" s="9">
        <f t="shared" si="0"/>
        <v>24473.85204081632</v>
      </c>
    </row>
    <row r="9" spans="1:11" x14ac:dyDescent="0.25">
      <c r="A9">
        <v>3</v>
      </c>
      <c r="B9" s="9">
        <v>15000</v>
      </c>
      <c r="C9" s="9">
        <v>150000</v>
      </c>
      <c r="D9" s="9">
        <v>-65000</v>
      </c>
      <c r="E9" s="9">
        <v>-40000</v>
      </c>
      <c r="F9" s="9">
        <v>-20000</v>
      </c>
      <c r="G9" s="10">
        <f>+D21</f>
        <v>2100</v>
      </c>
      <c r="H9" s="10">
        <f>SUM(B9:G9)</f>
        <v>42100</v>
      </c>
      <c r="I9" s="34">
        <f>+I8/1.12</f>
        <v>0.71178024781341087</v>
      </c>
      <c r="J9" s="9">
        <f t="shared" si="0"/>
        <v>29965.948432944599</v>
      </c>
    </row>
    <row r="10" spans="1:11" x14ac:dyDescent="0.25">
      <c r="A10">
        <v>4</v>
      </c>
      <c r="G10" s="10">
        <f>+E21</f>
        <v>-11200.000000000002</v>
      </c>
      <c r="H10" s="10">
        <f>SUM(B10:G10)</f>
        <v>-11200.000000000002</v>
      </c>
      <c r="I10" s="34">
        <f>+I9/1.12</f>
        <v>0.6355180784048311</v>
      </c>
      <c r="J10" s="9">
        <f t="shared" si="0"/>
        <v>-7117.8024781341092</v>
      </c>
    </row>
    <row r="11" spans="1:11" ht="15.75" thickBot="1" x14ac:dyDescent="0.3">
      <c r="I11" s="64" t="s">
        <v>148</v>
      </c>
      <c r="J11" s="65">
        <f>SUM(J6:J10)</f>
        <v>3571.9979956268098</v>
      </c>
      <c r="K11" s="1" t="s">
        <v>299</v>
      </c>
    </row>
    <row r="12" spans="1:11" ht="15.75" thickTop="1" x14ac:dyDescent="0.25"/>
    <row r="13" spans="1:11" x14ac:dyDescent="0.25">
      <c r="A13" t="s">
        <v>300</v>
      </c>
    </row>
    <row r="15" spans="1:11" x14ac:dyDescent="0.25">
      <c r="B15" s="11" t="s">
        <v>167</v>
      </c>
      <c r="C15" s="11" t="s">
        <v>168</v>
      </c>
      <c r="D15" s="11" t="s">
        <v>117</v>
      </c>
      <c r="E15" s="11" t="s">
        <v>169</v>
      </c>
      <c r="H15" s="14" t="s">
        <v>301</v>
      </c>
      <c r="K15" s="10">
        <f>+B9</f>
        <v>15000</v>
      </c>
    </row>
    <row r="16" spans="1:11" x14ac:dyDescent="0.25">
      <c r="A16" t="s">
        <v>302</v>
      </c>
      <c r="B16" s="10">
        <f>SUM(C7:F7)</f>
        <v>35000</v>
      </c>
      <c r="C16" s="10">
        <f>SUM(C8:F8)</f>
        <v>30000</v>
      </c>
      <c r="D16" s="10">
        <f>SUM(C9:F9)</f>
        <v>25000</v>
      </c>
      <c r="H16" t="s">
        <v>303</v>
      </c>
    </row>
    <row r="17" spans="1:11" x14ac:dyDescent="0.25">
      <c r="A17" t="s">
        <v>258</v>
      </c>
      <c r="B17" s="9">
        <f>-75000*0.5</f>
        <v>-37500</v>
      </c>
      <c r="C17" s="9">
        <f>-75000*0.5</f>
        <v>-37500</v>
      </c>
      <c r="H17" s="67" t="s">
        <v>133</v>
      </c>
      <c r="J17" s="10">
        <f>-B6</f>
        <v>75000</v>
      </c>
    </row>
    <row r="18" spans="1:11" x14ac:dyDescent="0.25">
      <c r="A18" t="s">
        <v>304</v>
      </c>
      <c r="D18" s="10">
        <f>+K19</f>
        <v>15000</v>
      </c>
      <c r="H18" s="67" t="s">
        <v>305</v>
      </c>
      <c r="J18" s="10">
        <f>+B17+C17</f>
        <v>-75000</v>
      </c>
      <c r="K18" s="10">
        <f>SUM(J17:J18)</f>
        <v>0</v>
      </c>
    </row>
    <row r="19" spans="1:11" x14ac:dyDescent="0.25">
      <c r="A19" t="s">
        <v>306</v>
      </c>
      <c r="B19" s="10">
        <f>SUM(B16:B18)</f>
        <v>-2500</v>
      </c>
      <c r="C19" s="10">
        <f t="shared" ref="C19:D19" si="1">SUM(C16:C18)</f>
        <v>-7500</v>
      </c>
      <c r="D19" s="10">
        <f t="shared" si="1"/>
        <v>40000</v>
      </c>
      <c r="E19" s="10">
        <f>SUM(E16:E18)</f>
        <v>0</v>
      </c>
      <c r="H19" t="s">
        <v>261</v>
      </c>
      <c r="K19" s="10">
        <f>SUM(K15:K18)</f>
        <v>15000</v>
      </c>
    </row>
    <row r="20" spans="1:11" x14ac:dyDescent="0.25">
      <c r="A20" t="s">
        <v>307</v>
      </c>
      <c r="B20" s="9">
        <f>+B19*0.28</f>
        <v>-700.00000000000011</v>
      </c>
      <c r="C20" s="9">
        <f t="shared" ref="C20:E20" si="2">+C19*0.28</f>
        <v>-2100</v>
      </c>
      <c r="D20" s="9">
        <f t="shared" si="2"/>
        <v>11200.000000000002</v>
      </c>
      <c r="E20" s="9">
        <f t="shared" si="2"/>
        <v>0</v>
      </c>
    </row>
    <row r="21" spans="1:11" x14ac:dyDescent="0.25">
      <c r="A21" t="s">
        <v>308</v>
      </c>
      <c r="C21" s="10">
        <f>-B20</f>
        <v>700.00000000000011</v>
      </c>
      <c r="D21" s="10">
        <f>-C20</f>
        <v>2100</v>
      </c>
      <c r="E21" s="10">
        <f>-D20</f>
        <v>-11200.000000000002</v>
      </c>
    </row>
  </sheetData>
  <phoneticPr fontId="14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9"/>
  <sheetViews>
    <sheetView workbookViewId="0">
      <selection activeCell="H21" sqref="H21"/>
    </sheetView>
  </sheetViews>
  <sheetFormatPr defaultRowHeight="15" x14ac:dyDescent="0.25"/>
  <cols>
    <col min="2" max="2" width="10.5703125" customWidth="1"/>
    <col min="5" max="5" width="12.28515625" bestFit="1" customWidth="1"/>
    <col min="7" max="7" width="11.5703125" bestFit="1" customWidth="1"/>
    <col min="8" max="8" width="11.28515625" customWidth="1"/>
    <col min="9" max="9" width="12.5703125" customWidth="1"/>
  </cols>
  <sheetData>
    <row r="2" spans="1:14" x14ac:dyDescent="0.25">
      <c r="A2" s="8" t="s">
        <v>20</v>
      </c>
    </row>
    <row r="3" spans="1:14" x14ac:dyDescent="0.25">
      <c r="D3" t="s">
        <v>309</v>
      </c>
      <c r="G3" s="180" t="s">
        <v>310</v>
      </c>
      <c r="H3" s="180"/>
      <c r="L3" s="1" t="s">
        <v>311</v>
      </c>
    </row>
    <row r="4" spans="1:14" x14ac:dyDescent="0.25">
      <c r="D4" s="27"/>
      <c r="E4" s="27"/>
      <c r="F4" s="27"/>
      <c r="G4" s="73"/>
      <c r="H4" s="73"/>
      <c r="I4" s="27"/>
      <c r="J4" s="27"/>
      <c r="K4" s="27"/>
      <c r="L4" s="27"/>
    </row>
    <row r="5" spans="1:14" x14ac:dyDescent="0.25">
      <c r="D5" t="s">
        <v>312</v>
      </c>
      <c r="G5" s="180" t="s">
        <v>313</v>
      </c>
      <c r="H5" s="180"/>
      <c r="L5" s="1" t="s">
        <v>314</v>
      </c>
    </row>
    <row r="6" spans="1:14" x14ac:dyDescent="0.25">
      <c r="G6" s="180" t="s">
        <v>281</v>
      </c>
      <c r="H6" s="180"/>
      <c r="I6" t="s">
        <v>309</v>
      </c>
    </row>
    <row r="7" spans="1:14" x14ac:dyDescent="0.25">
      <c r="K7" t="s">
        <v>315</v>
      </c>
    </row>
    <row r="8" spans="1:14" x14ac:dyDescent="0.25">
      <c r="A8" t="s">
        <v>316</v>
      </c>
    </row>
    <row r="9" spans="1:14" x14ac:dyDescent="0.25">
      <c r="A9" s="66" t="s">
        <v>317</v>
      </c>
    </row>
    <row r="10" spans="1:14" x14ac:dyDescent="0.25">
      <c r="A10" s="66" t="s">
        <v>318</v>
      </c>
    </row>
    <row r="13" spans="1:14" x14ac:dyDescent="0.25">
      <c r="M13" t="s">
        <v>319</v>
      </c>
    </row>
    <row r="15" spans="1:14" x14ac:dyDescent="0.25">
      <c r="I15">
        <v>0</v>
      </c>
    </row>
    <row r="16" spans="1:14" x14ac:dyDescent="0.25">
      <c r="J16">
        <v>5</v>
      </c>
      <c r="K16">
        <v>10</v>
      </c>
      <c r="L16">
        <v>15</v>
      </c>
      <c r="M16">
        <v>20</v>
      </c>
      <c r="N16" t="s">
        <v>186</v>
      </c>
    </row>
    <row r="19" spans="1:19" x14ac:dyDescent="0.25">
      <c r="I19" t="s">
        <v>311</v>
      </c>
    </row>
    <row r="23" spans="1:19" x14ac:dyDescent="0.25">
      <c r="D23" t="s">
        <v>281</v>
      </c>
      <c r="E23" s="74" t="s">
        <v>284</v>
      </c>
      <c r="F23" s="175" t="s">
        <v>34</v>
      </c>
      <c r="G23" s="177" t="s">
        <v>285</v>
      </c>
      <c r="H23" s="178" t="s">
        <v>286</v>
      </c>
      <c r="I23" s="178"/>
      <c r="J23" s="178"/>
      <c r="K23" s="175" t="s">
        <v>287</v>
      </c>
      <c r="L23" s="175" t="s">
        <v>288</v>
      </c>
      <c r="M23" s="11" t="s">
        <v>289</v>
      </c>
    </row>
    <row r="24" spans="1:19" x14ac:dyDescent="0.25">
      <c r="F24" s="175"/>
      <c r="G24" s="177"/>
      <c r="H24" s="11" t="s">
        <v>290</v>
      </c>
      <c r="I24" s="75" t="s">
        <v>291</v>
      </c>
      <c r="J24" t="s">
        <v>292</v>
      </c>
      <c r="K24" s="175"/>
      <c r="L24" s="175"/>
    </row>
    <row r="28" spans="1:19" x14ac:dyDescent="0.25">
      <c r="A28" s="8" t="s">
        <v>320</v>
      </c>
    </row>
    <row r="29" spans="1:19" x14ac:dyDescent="0.25">
      <c r="A29" t="s">
        <v>321</v>
      </c>
    </row>
    <row r="30" spans="1:19" x14ac:dyDescent="0.25">
      <c r="A30" t="s">
        <v>322</v>
      </c>
    </row>
    <row r="32" spans="1:19" ht="45" x14ac:dyDescent="0.25">
      <c r="E32" s="49" t="s">
        <v>323</v>
      </c>
      <c r="I32" s="79" t="s">
        <v>324</v>
      </c>
      <c r="S32" t="s">
        <v>325</v>
      </c>
    </row>
    <row r="33" spans="1:19" x14ac:dyDescent="0.25">
      <c r="D33" t="s">
        <v>116</v>
      </c>
      <c r="E33" s="9">
        <v>-100000</v>
      </c>
      <c r="H33" t="s">
        <v>116</v>
      </c>
      <c r="I33" s="9">
        <v>-500000</v>
      </c>
    </row>
    <row r="34" spans="1:19" x14ac:dyDescent="0.25">
      <c r="D34" t="s">
        <v>167</v>
      </c>
      <c r="E34" s="9">
        <v>50000</v>
      </c>
      <c r="H34" t="s">
        <v>167</v>
      </c>
      <c r="I34" s="9">
        <v>281250</v>
      </c>
      <c r="S34" t="s">
        <v>326</v>
      </c>
    </row>
    <row r="35" spans="1:19" x14ac:dyDescent="0.25">
      <c r="D35" t="s">
        <v>168</v>
      </c>
      <c r="E35" s="9">
        <v>60000</v>
      </c>
      <c r="H35" t="s">
        <v>168</v>
      </c>
      <c r="I35" s="9">
        <v>281250</v>
      </c>
    </row>
    <row r="36" spans="1:19" x14ac:dyDescent="0.25">
      <c r="D36" t="s">
        <v>117</v>
      </c>
      <c r="E36" s="9">
        <v>40000</v>
      </c>
      <c r="H36" t="s">
        <v>117</v>
      </c>
      <c r="I36" s="9">
        <v>281250</v>
      </c>
    </row>
    <row r="37" spans="1:19" x14ac:dyDescent="0.25">
      <c r="D37" t="s">
        <v>169</v>
      </c>
      <c r="E37" s="9">
        <v>35000</v>
      </c>
      <c r="H37" t="s">
        <v>169</v>
      </c>
      <c r="I37" s="9">
        <v>281250</v>
      </c>
      <c r="S37" t="s">
        <v>327</v>
      </c>
    </row>
    <row r="38" spans="1:19" x14ac:dyDescent="0.25">
      <c r="D38" t="s">
        <v>170</v>
      </c>
      <c r="E38" s="9">
        <v>20000</v>
      </c>
      <c r="H38" t="s">
        <v>170</v>
      </c>
      <c r="I38" s="9">
        <v>281250</v>
      </c>
    </row>
    <row r="39" spans="1:19" x14ac:dyDescent="0.25">
      <c r="A39" s="170" t="s">
        <v>328</v>
      </c>
      <c r="B39" s="170"/>
      <c r="C39" s="170"/>
      <c r="H39" t="s">
        <v>171</v>
      </c>
      <c r="I39" s="46">
        <v>-937500</v>
      </c>
    </row>
    <row r="40" spans="1:19" x14ac:dyDescent="0.25">
      <c r="A40" t="s">
        <v>281</v>
      </c>
      <c r="B40" t="s">
        <v>329</v>
      </c>
      <c r="C40" s="11" t="s">
        <v>281</v>
      </c>
      <c r="I40" s="10">
        <f>SUM(I33:I39)</f>
        <v>-31250</v>
      </c>
    </row>
    <row r="41" spans="1:19" x14ac:dyDescent="0.25">
      <c r="B41" s="3">
        <v>0.02</v>
      </c>
      <c r="C41" s="3">
        <f>IRR($E$33:$E$38,B41)</f>
        <v>0.35766592965327382</v>
      </c>
      <c r="G41" s="179" t="s">
        <v>330</v>
      </c>
      <c r="H41" s="179"/>
      <c r="I41" s="179"/>
    </row>
    <row r="42" spans="1:19" x14ac:dyDescent="0.25">
      <c r="B42" s="3">
        <v>0.05</v>
      </c>
      <c r="C42" s="3">
        <f t="shared" ref="C42:C48" si="0">IRR($E$33:$E$38,B42)</f>
        <v>0.3576659296538367</v>
      </c>
      <c r="G42" t="s">
        <v>281</v>
      </c>
      <c r="H42" t="s">
        <v>329</v>
      </c>
      <c r="I42" s="11" t="s">
        <v>281</v>
      </c>
    </row>
    <row r="43" spans="1:19" x14ac:dyDescent="0.25">
      <c r="B43" s="3">
        <v>0.08</v>
      </c>
      <c r="C43" s="3">
        <f t="shared" si="0"/>
        <v>0.35766592965389732</v>
      </c>
      <c r="H43" s="3">
        <v>0.02</v>
      </c>
      <c r="I43" s="3">
        <f>IRR($I$33:$I$39,H43)</f>
        <v>2.684389888824712E-2</v>
      </c>
    </row>
    <row r="44" spans="1:19" x14ac:dyDescent="0.25">
      <c r="B44" s="3">
        <v>0.1</v>
      </c>
      <c r="C44" s="3">
        <f t="shared" si="0"/>
        <v>0.35766592965390198</v>
      </c>
      <c r="H44" s="3">
        <v>0.05</v>
      </c>
      <c r="I44" s="3">
        <f t="shared" ref="I44:I50" si="1">IRR($I$33:$I$39,H44)</f>
        <v>2.6843898888246898E-2</v>
      </c>
    </row>
    <row r="45" spans="1:19" x14ac:dyDescent="0.25">
      <c r="B45" s="3">
        <v>0.15</v>
      </c>
      <c r="C45" s="3">
        <f t="shared" si="0"/>
        <v>0.35766592965390287</v>
      </c>
      <c r="H45" s="3">
        <v>0.08</v>
      </c>
      <c r="I45" s="3">
        <f t="shared" si="1"/>
        <v>2.684389888824712E-2</v>
      </c>
    </row>
    <row r="46" spans="1:19" x14ac:dyDescent="0.25">
      <c r="B46" s="3">
        <v>0.2</v>
      </c>
      <c r="C46" s="3">
        <f t="shared" si="0"/>
        <v>0.3576659296533502</v>
      </c>
      <c r="H46" s="3">
        <v>0.1</v>
      </c>
      <c r="I46" s="5">
        <f t="shared" si="1"/>
        <v>2.6843898888289086E-2</v>
      </c>
    </row>
    <row r="47" spans="1:19" x14ac:dyDescent="0.25">
      <c r="B47" s="3">
        <v>0.25</v>
      </c>
      <c r="C47" s="3">
        <f t="shared" si="0"/>
        <v>0.35766592965389998</v>
      </c>
      <c r="H47" s="3">
        <v>0.15</v>
      </c>
      <c r="I47" s="5">
        <f t="shared" si="1"/>
        <v>0.27741685573861652</v>
      </c>
    </row>
    <row r="48" spans="1:19" x14ac:dyDescent="0.25">
      <c r="B48" s="3">
        <v>0.3</v>
      </c>
      <c r="C48" s="3">
        <f t="shared" si="0"/>
        <v>0.35766592965390287</v>
      </c>
      <c r="H48" s="3">
        <v>0.2</v>
      </c>
      <c r="I48" s="3">
        <f t="shared" si="1"/>
        <v>0.27741685573861052</v>
      </c>
    </row>
    <row r="49" spans="6:9" x14ac:dyDescent="0.25">
      <c r="H49" s="3">
        <v>0.25</v>
      </c>
      <c r="I49" s="3">
        <f t="shared" si="1"/>
        <v>0.27741685573861652</v>
      </c>
    </row>
    <row r="50" spans="6:9" x14ac:dyDescent="0.25">
      <c r="H50" s="3">
        <v>0.3</v>
      </c>
      <c r="I50" s="3">
        <f t="shared" si="1"/>
        <v>0.27741685573861674</v>
      </c>
    </row>
    <row r="52" spans="6:9" x14ac:dyDescent="0.25">
      <c r="F52" t="s">
        <v>186</v>
      </c>
      <c r="G52" s="11" t="s">
        <v>148</v>
      </c>
    </row>
    <row r="53" spans="6:9" x14ac:dyDescent="0.25">
      <c r="F53" s="3">
        <v>0</v>
      </c>
      <c r="G53" s="80">
        <f>NPV(F53,$I$33:$I$39)</f>
        <v>-31250</v>
      </c>
    </row>
    <row r="54" spans="6:9" x14ac:dyDescent="0.25">
      <c r="F54" s="3">
        <v>0.02</v>
      </c>
      <c r="G54" s="80">
        <f t="shared" ref="G54:G69" si="2">NPV(F54,$I$33:$I$39)</f>
        <v>-6679.101992889613</v>
      </c>
    </row>
    <row r="55" spans="6:9" x14ac:dyDescent="0.25">
      <c r="F55" s="3">
        <v>0.04</v>
      </c>
      <c r="G55" s="80">
        <f t="shared" si="2"/>
        <v>10726.118006053954</v>
      </c>
    </row>
    <row r="56" spans="6:9" x14ac:dyDescent="0.25">
      <c r="F56" s="3">
        <v>0.06</v>
      </c>
      <c r="G56" s="80">
        <f t="shared" si="2"/>
        <v>22478.120781283251</v>
      </c>
    </row>
    <row r="57" spans="6:9" x14ac:dyDescent="0.25">
      <c r="F57" s="3">
        <v>0.08</v>
      </c>
      <c r="G57" s="80">
        <f t="shared" si="2"/>
        <v>29783.030301204522</v>
      </c>
    </row>
    <row r="58" spans="6:9" x14ac:dyDescent="0.25">
      <c r="F58" s="3">
        <v>0.1</v>
      </c>
      <c r="G58" s="80">
        <f t="shared" si="2"/>
        <v>33604.063155190612</v>
      </c>
    </row>
    <row r="59" spans="6:9" x14ac:dyDescent="0.25">
      <c r="F59" s="3">
        <v>0.12</v>
      </c>
      <c r="G59" s="80">
        <f t="shared" si="2"/>
        <v>34711.277505173501</v>
      </c>
    </row>
    <row r="60" spans="6:9" x14ac:dyDescent="0.25">
      <c r="F60" s="3">
        <v>0.14000000000000001</v>
      </c>
      <c r="G60" s="80">
        <f t="shared" si="2"/>
        <v>33720.731611970477</v>
      </c>
    </row>
    <row r="61" spans="6:9" x14ac:dyDescent="0.25">
      <c r="F61" s="3">
        <v>0.16</v>
      </c>
      <c r="G61" s="80">
        <f t="shared" si="2"/>
        <v>31125.410639241607</v>
      </c>
    </row>
    <row r="62" spans="6:9" x14ac:dyDescent="0.25">
      <c r="F62" s="3">
        <v>0.18</v>
      </c>
      <c r="G62" s="80">
        <f t="shared" si="2"/>
        <v>27319.730220509296</v>
      </c>
    </row>
    <row r="63" spans="6:9" x14ac:dyDescent="0.25">
      <c r="F63" s="3">
        <v>0.2</v>
      </c>
      <c r="G63" s="80">
        <f t="shared" si="2"/>
        <v>22619.009344993101</v>
      </c>
    </row>
    <row r="64" spans="6:9" x14ac:dyDescent="0.25">
      <c r="F64" s="3">
        <v>0.22</v>
      </c>
      <c r="G64" s="80">
        <f t="shared" si="2"/>
        <v>17274.989250508428</v>
      </c>
    </row>
    <row r="65" spans="6:7" x14ac:dyDescent="0.25">
      <c r="F65" s="3">
        <v>0.24</v>
      </c>
      <c r="G65" s="80">
        <f t="shared" si="2"/>
        <v>11488.234069872688</v>
      </c>
    </row>
    <row r="66" spans="6:7" x14ac:dyDescent="0.25">
      <c r="F66" s="3">
        <v>0.26</v>
      </c>
      <c r="G66" s="80">
        <f t="shared" si="2"/>
        <v>5418.0644043830516</v>
      </c>
    </row>
    <row r="67" spans="6:7" x14ac:dyDescent="0.25">
      <c r="F67" s="3">
        <v>0.28000000000000003</v>
      </c>
      <c r="G67" s="80">
        <f t="shared" si="2"/>
        <v>-809.4669738057064</v>
      </c>
    </row>
    <row r="68" spans="6:7" x14ac:dyDescent="0.25">
      <c r="F68" s="3">
        <v>0.3</v>
      </c>
      <c r="G68" s="80">
        <f t="shared" si="2"/>
        <v>-7095.1577230104322</v>
      </c>
    </row>
    <row r="69" spans="6:7" x14ac:dyDescent="0.25">
      <c r="F69" s="3">
        <v>0.32</v>
      </c>
      <c r="G69" s="80">
        <f t="shared" si="2"/>
        <v>-13361.482254022429</v>
      </c>
    </row>
  </sheetData>
  <mergeCells count="10">
    <mergeCell ref="K23:K24"/>
    <mergeCell ref="L23:L24"/>
    <mergeCell ref="A39:C39"/>
    <mergeCell ref="G41:I41"/>
    <mergeCell ref="G3:H3"/>
    <mergeCell ref="G5:H5"/>
    <mergeCell ref="G6:H6"/>
    <mergeCell ref="F23:F24"/>
    <mergeCell ref="G23:G24"/>
    <mergeCell ref="H23:J23"/>
  </mergeCells>
  <phoneticPr fontId="1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21" sqref="B21"/>
    </sheetView>
  </sheetViews>
  <sheetFormatPr defaultRowHeight="15" x14ac:dyDescent="0.25"/>
  <cols>
    <col min="1" max="1" width="11.42578125" customWidth="1"/>
    <col min="3" max="4" width="10.7109375" customWidth="1"/>
    <col min="5" max="5" width="9.5703125" bestFit="1" customWidth="1"/>
    <col min="7" max="7" width="11" customWidth="1"/>
    <col min="9" max="9" width="20" customWidth="1"/>
    <col min="13" max="13" width="15.42578125" customWidth="1"/>
    <col min="14" max="14" width="9.5703125" bestFit="1" customWidth="1"/>
    <col min="15" max="15" width="12.42578125" customWidth="1"/>
  </cols>
  <sheetData>
    <row r="1" spans="1:16" x14ac:dyDescent="0.25">
      <c r="B1" s="170" t="s">
        <v>30</v>
      </c>
      <c r="C1" s="170"/>
      <c r="D1" s="170"/>
      <c r="E1" s="170"/>
      <c r="G1" s="170" t="s">
        <v>31</v>
      </c>
      <c r="H1" s="170"/>
      <c r="I1" s="170"/>
      <c r="J1" s="170"/>
    </row>
    <row r="2" spans="1:16" x14ac:dyDescent="0.25">
      <c r="C2" t="s">
        <v>32</v>
      </c>
      <c r="D2" t="s">
        <v>33</v>
      </c>
      <c r="H2" t="s">
        <v>32</v>
      </c>
      <c r="I2" t="s">
        <v>33</v>
      </c>
    </row>
    <row r="3" spans="1:16" x14ac:dyDescent="0.25">
      <c r="B3" t="s">
        <v>34</v>
      </c>
      <c r="C3" s="3">
        <v>0.15</v>
      </c>
      <c r="D3" s="4">
        <v>0.14000000000000001</v>
      </c>
      <c r="E3" t="s">
        <v>35</v>
      </c>
      <c r="G3" t="s">
        <v>34</v>
      </c>
      <c r="H3" s="3">
        <v>0.15</v>
      </c>
      <c r="I3" s="4">
        <v>0.14000000000000001</v>
      </c>
      <c r="J3" t="s">
        <v>35</v>
      </c>
    </row>
    <row r="4" spans="1:16" x14ac:dyDescent="0.25">
      <c r="B4" t="s">
        <v>36</v>
      </c>
      <c r="C4" s="5">
        <v>0.15</v>
      </c>
      <c r="D4" s="6">
        <v>0.17499999999999999</v>
      </c>
      <c r="E4" s="1" t="s">
        <v>37</v>
      </c>
      <c r="G4" t="s">
        <v>36</v>
      </c>
      <c r="H4" s="3">
        <v>0.15</v>
      </c>
      <c r="I4" s="4">
        <v>0.17499999999999999</v>
      </c>
      <c r="J4" t="s">
        <v>35</v>
      </c>
    </row>
    <row r="5" spans="1:16" x14ac:dyDescent="0.25">
      <c r="B5" t="s">
        <v>38</v>
      </c>
      <c r="C5" s="5">
        <v>0.15</v>
      </c>
      <c r="D5" s="6">
        <v>0.21</v>
      </c>
      <c r="E5" s="1" t="s">
        <v>37</v>
      </c>
      <c r="G5" s="1" t="s">
        <v>38</v>
      </c>
      <c r="H5" s="5">
        <v>0.15</v>
      </c>
      <c r="I5" s="6">
        <v>0.21</v>
      </c>
      <c r="J5" s="1" t="s">
        <v>37</v>
      </c>
    </row>
    <row r="8" spans="1:16" x14ac:dyDescent="0.25">
      <c r="A8" s="8" t="s">
        <v>39</v>
      </c>
    </row>
    <row r="9" spans="1:16" x14ac:dyDescent="0.25">
      <c r="B9" t="s">
        <v>40</v>
      </c>
    </row>
    <row r="10" spans="1:16" x14ac:dyDescent="0.25">
      <c r="D10" t="s">
        <v>41</v>
      </c>
    </row>
    <row r="11" spans="1:16" x14ac:dyDescent="0.25">
      <c r="B11" t="s">
        <v>42</v>
      </c>
      <c r="C11" s="11" t="s">
        <v>43</v>
      </c>
      <c r="D11" s="11" t="s">
        <v>44</v>
      </c>
      <c r="E11" s="11" t="s">
        <v>45</v>
      </c>
      <c r="H11" s="11" t="s">
        <v>46</v>
      </c>
      <c r="I11" s="21" t="s">
        <v>47</v>
      </c>
      <c r="J11" t="s">
        <v>48</v>
      </c>
      <c r="L11" t="s">
        <v>42</v>
      </c>
      <c r="M11" s="11" t="s">
        <v>49</v>
      </c>
      <c r="N11" s="11" t="s">
        <v>45</v>
      </c>
      <c r="O11" s="11" t="s">
        <v>50</v>
      </c>
      <c r="P11" s="11" t="s">
        <v>51</v>
      </c>
    </row>
    <row r="12" spans="1:16" x14ac:dyDescent="0.25">
      <c r="B12">
        <v>1</v>
      </c>
      <c r="C12" s="9">
        <v>100</v>
      </c>
      <c r="D12" s="9">
        <v>-100</v>
      </c>
      <c r="E12" s="10">
        <f>SUM(C12:D12)</f>
        <v>0</v>
      </c>
      <c r="I12" s="7" t="s">
        <v>52</v>
      </c>
      <c r="L12">
        <v>1</v>
      </c>
      <c r="M12" s="1">
        <v>800</v>
      </c>
      <c r="N12" s="10">
        <f>+E12</f>
        <v>0</v>
      </c>
      <c r="O12">
        <f>+M12-100</f>
        <v>700</v>
      </c>
      <c r="P12" s="16">
        <f>N12/((M12+O12)/2)</f>
        <v>0</v>
      </c>
    </row>
    <row r="13" spans="1:16" x14ac:dyDescent="0.25">
      <c r="B13">
        <v>2</v>
      </c>
      <c r="C13" s="9">
        <v>200</v>
      </c>
      <c r="D13" s="9">
        <v>-100</v>
      </c>
      <c r="E13" s="10">
        <f t="shared" ref="E13:E18" si="0">SUM(C13:D13)</f>
        <v>100</v>
      </c>
      <c r="L13">
        <v>2</v>
      </c>
      <c r="M13">
        <f>+O12</f>
        <v>700</v>
      </c>
      <c r="N13" s="10">
        <f t="shared" ref="N13:N18" si="1">+E13</f>
        <v>100</v>
      </c>
      <c r="O13">
        <f>+M13-100</f>
        <v>600</v>
      </c>
      <c r="P13" s="16">
        <f t="shared" ref="P13:P18" si="2">N13/((M13+O13)/2)</f>
        <v>0.15384615384615385</v>
      </c>
    </row>
    <row r="14" spans="1:16" x14ac:dyDescent="0.25">
      <c r="B14">
        <v>3</v>
      </c>
      <c r="C14" s="9">
        <v>400</v>
      </c>
      <c r="D14" s="9">
        <v>-100</v>
      </c>
      <c r="E14" s="10">
        <f t="shared" si="0"/>
        <v>300</v>
      </c>
      <c r="I14" s="15">
        <f>+E20</f>
        <v>150</v>
      </c>
      <c r="J14" t="s">
        <v>48</v>
      </c>
      <c r="L14">
        <v>3</v>
      </c>
      <c r="M14">
        <f t="shared" ref="M14:M18" si="3">+O13</f>
        <v>600</v>
      </c>
      <c r="N14" s="10">
        <f t="shared" si="1"/>
        <v>300</v>
      </c>
      <c r="O14">
        <f t="shared" ref="O14:O18" si="4">+M14-100</f>
        <v>500</v>
      </c>
      <c r="P14" s="16">
        <f t="shared" si="2"/>
        <v>0.54545454545454541</v>
      </c>
    </row>
    <row r="15" spans="1:16" x14ac:dyDescent="0.25">
      <c r="B15">
        <v>4</v>
      </c>
      <c r="C15" s="9">
        <v>400</v>
      </c>
      <c r="D15" s="9">
        <v>-100</v>
      </c>
      <c r="E15" s="10">
        <f t="shared" si="0"/>
        <v>300</v>
      </c>
      <c r="I15" s="9">
        <v>800</v>
      </c>
      <c r="L15">
        <v>4</v>
      </c>
      <c r="M15">
        <f t="shared" si="3"/>
        <v>500</v>
      </c>
      <c r="N15" s="10">
        <f t="shared" si="1"/>
        <v>300</v>
      </c>
      <c r="O15">
        <f t="shared" si="4"/>
        <v>400</v>
      </c>
      <c r="P15" s="16">
        <f t="shared" si="2"/>
        <v>0.66666666666666663</v>
      </c>
    </row>
    <row r="16" spans="1:16" x14ac:dyDescent="0.25">
      <c r="B16">
        <v>5</v>
      </c>
      <c r="C16" s="9">
        <v>300</v>
      </c>
      <c r="D16" s="9">
        <v>-100</v>
      </c>
      <c r="E16" s="10">
        <f t="shared" si="0"/>
        <v>200</v>
      </c>
      <c r="L16">
        <v>5</v>
      </c>
      <c r="M16">
        <f t="shared" si="3"/>
        <v>400</v>
      </c>
      <c r="N16" s="10">
        <f t="shared" si="1"/>
        <v>200</v>
      </c>
      <c r="O16">
        <f t="shared" si="4"/>
        <v>300</v>
      </c>
      <c r="P16" s="16">
        <f t="shared" si="2"/>
        <v>0.5714285714285714</v>
      </c>
    </row>
    <row r="17" spans="2:16" ht="15.75" thickBot="1" x14ac:dyDescent="0.3">
      <c r="B17">
        <v>6</v>
      </c>
      <c r="C17" s="9">
        <v>200</v>
      </c>
      <c r="D17" s="9">
        <v>-100</v>
      </c>
      <c r="E17" s="10">
        <f t="shared" si="0"/>
        <v>100</v>
      </c>
      <c r="I17" s="17">
        <f>I14/I15</f>
        <v>0.1875</v>
      </c>
      <c r="L17">
        <v>6</v>
      </c>
      <c r="M17">
        <f t="shared" si="3"/>
        <v>300</v>
      </c>
      <c r="N17" s="10">
        <f t="shared" si="1"/>
        <v>100</v>
      </c>
      <c r="O17">
        <f t="shared" si="4"/>
        <v>200</v>
      </c>
      <c r="P17" s="16">
        <f t="shared" si="2"/>
        <v>0.4</v>
      </c>
    </row>
    <row r="18" spans="2:16" ht="15.75" thickTop="1" x14ac:dyDescent="0.25">
      <c r="B18">
        <v>7</v>
      </c>
      <c r="C18" s="9">
        <v>150</v>
      </c>
      <c r="D18" s="9">
        <v>-100</v>
      </c>
      <c r="E18" s="12">
        <f t="shared" si="0"/>
        <v>50</v>
      </c>
      <c r="L18">
        <v>7</v>
      </c>
      <c r="M18">
        <f t="shared" si="3"/>
        <v>200</v>
      </c>
      <c r="N18" s="10">
        <f t="shared" si="1"/>
        <v>50</v>
      </c>
      <c r="O18" s="1">
        <f t="shared" si="4"/>
        <v>100</v>
      </c>
      <c r="P18" s="16">
        <f t="shared" si="2"/>
        <v>0.33333333333333331</v>
      </c>
    </row>
    <row r="19" spans="2:16" x14ac:dyDescent="0.25">
      <c r="C19" t="s">
        <v>53</v>
      </c>
      <c r="E19" s="10">
        <f>SUM(E12:E18)</f>
        <v>1050</v>
      </c>
      <c r="N19" s="10">
        <f>SUM(N12:N18)</f>
        <v>1050</v>
      </c>
    </row>
    <row r="20" spans="2:16" ht="15.75" thickBot="1" x14ac:dyDescent="0.3">
      <c r="C20" s="1" t="s">
        <v>54</v>
      </c>
      <c r="D20" s="1"/>
      <c r="E20" s="13">
        <f>+E19/7</f>
        <v>150</v>
      </c>
      <c r="N20" s="10">
        <f>+N19/7</f>
        <v>150</v>
      </c>
      <c r="O20">
        <f>(M12+O18)/2</f>
        <v>450</v>
      </c>
      <c r="P20" s="16">
        <f>N20/O20</f>
        <v>0.33333333333333331</v>
      </c>
    </row>
    <row r="21" spans="2:16" ht="15.75" thickTop="1" x14ac:dyDescent="0.25"/>
    <row r="23" spans="2:16" x14ac:dyDescent="0.25">
      <c r="B23" t="s">
        <v>55</v>
      </c>
      <c r="C23" t="s">
        <v>56</v>
      </c>
      <c r="E23" s="18" t="s">
        <v>57</v>
      </c>
      <c r="H23" s="11" t="s">
        <v>46</v>
      </c>
      <c r="I23" s="21" t="s">
        <v>47</v>
      </c>
      <c r="J23" t="s">
        <v>48</v>
      </c>
    </row>
    <row r="24" spans="2:16" x14ac:dyDescent="0.25">
      <c r="F24">
        <v>2</v>
      </c>
      <c r="I24" s="7" t="s">
        <v>58</v>
      </c>
    </row>
    <row r="25" spans="2:16" x14ac:dyDescent="0.25">
      <c r="E25" s="19" t="s">
        <v>59</v>
      </c>
    </row>
    <row r="26" spans="2:16" x14ac:dyDescent="0.25">
      <c r="E26" s="7">
        <v>2</v>
      </c>
      <c r="I26" s="15">
        <f>+E20</f>
        <v>150</v>
      </c>
      <c r="J26" t="s">
        <v>48</v>
      </c>
    </row>
    <row r="27" spans="2:16" x14ac:dyDescent="0.25">
      <c r="I27" s="9">
        <f>+E28</f>
        <v>450</v>
      </c>
    </row>
    <row r="28" spans="2:16" ht="15.75" thickBot="1" x14ac:dyDescent="0.3">
      <c r="E28" s="20">
        <f>900/2</f>
        <v>450</v>
      </c>
    </row>
    <row r="29" spans="2:16" ht="16.5" thickTop="1" thickBot="1" x14ac:dyDescent="0.3">
      <c r="I29" s="17">
        <f>I26/I27</f>
        <v>0.33333333333333331</v>
      </c>
    </row>
    <row r="30" spans="2:16" ht="15.75" thickTop="1" x14ac:dyDescent="0.25"/>
  </sheetData>
  <mergeCells count="2">
    <mergeCell ref="G1:J1"/>
    <mergeCell ref="B1:E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"/>
  <sheetViews>
    <sheetView workbookViewId="0">
      <selection activeCell="L22" sqref="L22"/>
    </sheetView>
  </sheetViews>
  <sheetFormatPr defaultRowHeight="15" x14ac:dyDescent="0.25"/>
  <cols>
    <col min="2" max="2" width="11.28515625" bestFit="1" customWidth="1"/>
    <col min="4" max="4" width="11.28515625" bestFit="1" customWidth="1"/>
    <col min="5" max="5" width="11.5703125" customWidth="1"/>
    <col min="6" max="8" width="11.28515625" bestFit="1" customWidth="1"/>
    <col min="9" max="9" width="11.5703125" bestFit="1" customWidth="1"/>
    <col min="11" max="11" width="15.140625" bestFit="1" customWidth="1"/>
  </cols>
  <sheetData>
    <row r="2" spans="1:7" x14ac:dyDescent="0.25">
      <c r="A2" s="8" t="s">
        <v>21</v>
      </c>
    </row>
    <row r="4" spans="1:7" x14ac:dyDescent="0.25">
      <c r="B4" s="8" t="s">
        <v>331</v>
      </c>
    </row>
    <row r="6" spans="1:7" x14ac:dyDescent="0.25">
      <c r="C6" t="s">
        <v>132</v>
      </c>
      <c r="D6" t="s">
        <v>148</v>
      </c>
      <c r="F6" t="s">
        <v>332</v>
      </c>
      <c r="G6" t="s">
        <v>333</v>
      </c>
    </row>
    <row r="7" spans="1:7" x14ac:dyDescent="0.25">
      <c r="B7" t="s">
        <v>34</v>
      </c>
      <c r="C7" s="9">
        <v>50</v>
      </c>
      <c r="D7" s="9">
        <v>8</v>
      </c>
      <c r="E7" s="10">
        <f>+D7+C7</f>
        <v>58</v>
      </c>
      <c r="F7" s="145">
        <f>E7/C7</f>
        <v>1.1599999999999999</v>
      </c>
      <c r="G7">
        <v>2</v>
      </c>
    </row>
    <row r="8" spans="1:7" x14ac:dyDescent="0.25">
      <c r="B8" t="s">
        <v>36</v>
      </c>
      <c r="C8" s="9">
        <v>25</v>
      </c>
      <c r="D8" s="9">
        <v>5</v>
      </c>
      <c r="E8" s="10">
        <f>+D8+C8</f>
        <v>30</v>
      </c>
      <c r="F8" s="145">
        <f t="shared" ref="F8:F9" si="0">E8/C8</f>
        <v>1.2</v>
      </c>
      <c r="G8">
        <v>1</v>
      </c>
    </row>
    <row r="9" spans="1:7" x14ac:dyDescent="0.25">
      <c r="B9" t="s">
        <v>38</v>
      </c>
      <c r="C9" s="9">
        <v>30</v>
      </c>
      <c r="D9" s="9">
        <v>6</v>
      </c>
      <c r="E9" s="10">
        <f>+D9+C9</f>
        <v>36</v>
      </c>
      <c r="F9" s="145">
        <f t="shared" si="0"/>
        <v>1.2</v>
      </c>
      <c r="G9">
        <v>1</v>
      </c>
    </row>
    <row r="10" spans="1:7" x14ac:dyDescent="0.25">
      <c r="C10" s="10">
        <f>SUM(C7:C9)</f>
        <v>105</v>
      </c>
    </row>
    <row r="11" spans="1:7" x14ac:dyDescent="0.25">
      <c r="B11" t="s">
        <v>334</v>
      </c>
    </row>
    <row r="13" spans="1:7" x14ac:dyDescent="0.25">
      <c r="B13" t="s">
        <v>335</v>
      </c>
      <c r="D13" t="s">
        <v>336</v>
      </c>
      <c r="F13" t="s">
        <v>337</v>
      </c>
    </row>
    <row r="14" spans="1:7" x14ac:dyDescent="0.25">
      <c r="D14" t="s">
        <v>338</v>
      </c>
      <c r="F14" t="s">
        <v>339</v>
      </c>
    </row>
    <row r="16" spans="1:7" x14ac:dyDescent="0.25">
      <c r="D16" t="s">
        <v>340</v>
      </c>
      <c r="F16" t="s">
        <v>341</v>
      </c>
    </row>
    <row r="17" spans="3:17" x14ac:dyDescent="0.25">
      <c r="D17" t="s">
        <v>342</v>
      </c>
      <c r="F17" t="s">
        <v>343</v>
      </c>
    </row>
    <row r="19" spans="3:17" x14ac:dyDescent="0.25">
      <c r="D19" t="s">
        <v>344</v>
      </c>
      <c r="F19" t="s">
        <v>345</v>
      </c>
      <c r="O19" s="9"/>
    </row>
    <row r="20" spans="3:17" x14ac:dyDescent="0.25">
      <c r="D20" t="s">
        <v>346</v>
      </c>
      <c r="F20" t="s">
        <v>347</v>
      </c>
      <c r="O20" s="9"/>
    </row>
    <row r="21" spans="3:17" x14ac:dyDescent="0.25">
      <c r="O21" s="9"/>
    </row>
    <row r="22" spans="3:17" x14ac:dyDescent="0.25">
      <c r="O22" s="9"/>
    </row>
    <row r="23" spans="3:17" x14ac:dyDescent="0.25">
      <c r="D23" t="s">
        <v>348</v>
      </c>
    </row>
    <row r="24" spans="3:17" x14ac:dyDescent="0.25">
      <c r="D24" t="s">
        <v>349</v>
      </c>
    </row>
    <row r="25" spans="3:17" x14ac:dyDescent="0.25">
      <c r="D25" t="s">
        <v>350</v>
      </c>
    </row>
    <row r="27" spans="3:17" x14ac:dyDescent="0.25">
      <c r="C27" t="s">
        <v>351</v>
      </c>
      <c r="D27" s="1" t="s">
        <v>352</v>
      </c>
    </row>
    <row r="29" spans="3:17" x14ac:dyDescent="0.25">
      <c r="D29" t="s">
        <v>332</v>
      </c>
      <c r="E29" s="74" t="s">
        <v>284</v>
      </c>
      <c r="F29" s="178" t="s">
        <v>353</v>
      </c>
      <c r="G29" s="178"/>
      <c r="H29" s="178"/>
      <c r="I29" s="74" t="s">
        <v>284</v>
      </c>
      <c r="J29" s="178" t="s">
        <v>146</v>
      </c>
      <c r="K29" s="178"/>
      <c r="L29" s="178"/>
      <c r="N29" t="s">
        <v>354</v>
      </c>
      <c r="O29" t="s">
        <v>355</v>
      </c>
      <c r="Q29" s="74" t="s">
        <v>356</v>
      </c>
    </row>
    <row r="30" spans="3:17" x14ac:dyDescent="0.25">
      <c r="F30" s="170" t="s">
        <v>357</v>
      </c>
      <c r="G30" s="170"/>
      <c r="H30" s="170"/>
      <c r="J30" s="170" t="s">
        <v>357</v>
      </c>
      <c r="K30" s="170"/>
      <c r="L30" s="170"/>
      <c r="N30" t="s">
        <v>358</v>
      </c>
      <c r="O30" t="s">
        <v>359</v>
      </c>
      <c r="Q30" s="74" t="s">
        <v>360</v>
      </c>
    </row>
    <row r="34" spans="11:16" x14ac:dyDescent="0.25">
      <c r="L34" s="11" t="s">
        <v>361</v>
      </c>
      <c r="M34" s="11" t="s">
        <v>362</v>
      </c>
      <c r="N34" s="11" t="s">
        <v>363</v>
      </c>
      <c r="O34" s="11" t="s">
        <v>364</v>
      </c>
    </row>
    <row r="35" spans="11:16" x14ac:dyDescent="0.25">
      <c r="K35" t="s">
        <v>148</v>
      </c>
      <c r="L35" s="9">
        <v>8</v>
      </c>
      <c r="M35" s="9">
        <v>3</v>
      </c>
      <c r="N35" s="9">
        <v>8.5</v>
      </c>
      <c r="O35" s="9">
        <v>6.6</v>
      </c>
    </row>
    <row r="36" spans="11:16" x14ac:dyDescent="0.25">
      <c r="K36" t="s">
        <v>0</v>
      </c>
      <c r="L36" s="9">
        <v>40</v>
      </c>
      <c r="M36" s="9">
        <v>10</v>
      </c>
      <c r="N36" s="9">
        <v>50</v>
      </c>
      <c r="O36" s="9">
        <v>30</v>
      </c>
    </row>
    <row r="37" spans="11:16" x14ac:dyDescent="0.25">
      <c r="K37" t="s">
        <v>332</v>
      </c>
      <c r="L37" s="9">
        <f>+(L35+L36)/L36</f>
        <v>1.2</v>
      </c>
      <c r="M37" s="9">
        <f>+(M35+M36)/M36</f>
        <v>1.3</v>
      </c>
      <c r="N37" s="9">
        <f>+(N35+N36)/N36</f>
        <v>1.17</v>
      </c>
      <c r="O37" s="9">
        <f>+(O35+O36)/O36</f>
        <v>1.22</v>
      </c>
    </row>
    <row r="38" spans="11:16" x14ac:dyDescent="0.25">
      <c r="K38" s="1" t="s">
        <v>333</v>
      </c>
      <c r="L38" s="46">
        <v>3</v>
      </c>
      <c r="M38" s="46">
        <v>1</v>
      </c>
      <c r="N38" s="46">
        <v>4</v>
      </c>
      <c r="O38" s="46">
        <v>2</v>
      </c>
    </row>
    <row r="39" spans="11:16" ht="15.75" thickBot="1" x14ac:dyDescent="0.3">
      <c r="K39" t="s">
        <v>365</v>
      </c>
      <c r="L39" s="9">
        <v>20</v>
      </c>
      <c r="M39" s="10">
        <f>+M36</f>
        <v>10</v>
      </c>
      <c r="O39" s="9">
        <v>30</v>
      </c>
      <c r="P39" s="143">
        <v>60</v>
      </c>
    </row>
    <row r="40" spans="11:16" ht="15.75" thickTop="1" x14ac:dyDescent="0.25"/>
    <row r="41" spans="11:16" x14ac:dyDescent="0.25">
      <c r="K41" t="s">
        <v>366</v>
      </c>
    </row>
    <row r="66" spans="1:9" x14ac:dyDescent="0.25">
      <c r="A66" t="s">
        <v>42</v>
      </c>
      <c r="B66" s="11" t="s">
        <v>367</v>
      </c>
      <c r="C66" s="11" t="s">
        <v>368</v>
      </c>
      <c r="D66" s="11" t="s">
        <v>369</v>
      </c>
      <c r="E66" s="11" t="s">
        <v>370</v>
      </c>
      <c r="F66" s="11" t="s">
        <v>371</v>
      </c>
      <c r="G66" s="11" t="s">
        <v>372</v>
      </c>
      <c r="H66" s="11" t="s">
        <v>373</v>
      </c>
    </row>
    <row r="67" spans="1:9" x14ac:dyDescent="0.25">
      <c r="A67">
        <v>0</v>
      </c>
      <c r="B67" s="9">
        <v>-50000</v>
      </c>
      <c r="C67" s="9">
        <v>1</v>
      </c>
      <c r="D67" s="10">
        <f>+B67*C67</f>
        <v>-50000</v>
      </c>
      <c r="E67" s="9">
        <v>-28000</v>
      </c>
      <c r="F67" s="10">
        <f>+C67*E67</f>
        <v>-28000</v>
      </c>
      <c r="G67" s="9">
        <v>-30000</v>
      </c>
      <c r="H67" s="10">
        <f>+C67*G67</f>
        <v>-30000</v>
      </c>
    </row>
    <row r="68" spans="1:9" x14ac:dyDescent="0.25">
      <c r="A68">
        <v>1</v>
      </c>
      <c r="B68" s="9">
        <v>-20000</v>
      </c>
      <c r="C68" s="9">
        <f>+C67/1.1</f>
        <v>0.90909090909090906</v>
      </c>
      <c r="D68" s="10">
        <f t="shared" ref="D68:D71" si="1">+B68*C68</f>
        <v>-18181.81818181818</v>
      </c>
      <c r="E68" s="9">
        <v>-50000</v>
      </c>
      <c r="F68" s="10">
        <f t="shared" ref="F68:F71" si="2">+C68*E68</f>
        <v>-45454.545454545456</v>
      </c>
      <c r="G68" s="9">
        <v>-30000</v>
      </c>
      <c r="H68" s="10">
        <f t="shared" ref="H68:H71" si="3">+C68*G68</f>
        <v>-27272.727272727272</v>
      </c>
    </row>
    <row r="69" spans="1:9" x14ac:dyDescent="0.25">
      <c r="A69">
        <v>2</v>
      </c>
      <c r="B69" s="9">
        <v>20000</v>
      </c>
      <c r="C69" s="9">
        <f>+C68/1.1</f>
        <v>0.82644628099173545</v>
      </c>
      <c r="D69" s="10">
        <f t="shared" si="1"/>
        <v>16528.92561983471</v>
      </c>
      <c r="E69" s="9">
        <v>40000</v>
      </c>
      <c r="F69" s="10">
        <f t="shared" si="2"/>
        <v>33057.85123966942</v>
      </c>
      <c r="G69" s="9">
        <v>30000</v>
      </c>
      <c r="H69" s="10">
        <f t="shared" si="3"/>
        <v>24793.388429752064</v>
      </c>
    </row>
    <row r="70" spans="1:9" x14ac:dyDescent="0.25">
      <c r="A70">
        <v>3</v>
      </c>
      <c r="B70" s="9">
        <v>40000</v>
      </c>
      <c r="C70" s="9">
        <f t="shared" ref="C70:C71" si="4">+C69/1.1</f>
        <v>0.75131480090157765</v>
      </c>
      <c r="D70" s="10">
        <f t="shared" si="1"/>
        <v>30052.592036063106</v>
      </c>
      <c r="E70" s="9">
        <v>40000</v>
      </c>
      <c r="F70" s="10">
        <f t="shared" si="2"/>
        <v>30052.592036063106</v>
      </c>
      <c r="G70" s="9">
        <v>40000</v>
      </c>
      <c r="H70" s="10">
        <f t="shared" si="3"/>
        <v>30052.592036063106</v>
      </c>
    </row>
    <row r="71" spans="1:9" x14ac:dyDescent="0.25">
      <c r="A71">
        <v>4</v>
      </c>
      <c r="B71" s="9">
        <v>40000</v>
      </c>
      <c r="C71" s="9">
        <f t="shared" si="4"/>
        <v>0.68301345536507052</v>
      </c>
      <c r="D71" s="10">
        <f t="shared" si="1"/>
        <v>27320.538214602821</v>
      </c>
      <c r="E71" s="9">
        <v>20000</v>
      </c>
      <c r="F71" s="10">
        <f t="shared" si="2"/>
        <v>13660.26910730141</v>
      </c>
      <c r="G71" s="9">
        <v>10000</v>
      </c>
      <c r="H71" s="10">
        <f t="shared" si="3"/>
        <v>6830.1345536507051</v>
      </c>
    </row>
    <row r="72" spans="1:9" x14ac:dyDescent="0.25">
      <c r="B72" t="s">
        <v>148</v>
      </c>
      <c r="D72" s="10">
        <f>SUM(D67:D71)</f>
        <v>5720.2376886824641</v>
      </c>
      <c r="F72" s="10">
        <f>SUM(F67:F71)</f>
        <v>3316.1669284884811</v>
      </c>
      <c r="H72" s="10">
        <f>SUM(H67:H71)</f>
        <v>4403.3877467386028</v>
      </c>
      <c r="I72" s="10">
        <f>SUM(D72:H72)</f>
        <v>13439.792363909548</v>
      </c>
    </row>
    <row r="73" spans="1:9" x14ac:dyDescent="0.25">
      <c r="B73" t="s">
        <v>0</v>
      </c>
      <c r="D73" s="10">
        <f>-D67</f>
        <v>50000</v>
      </c>
      <c r="F73" s="10">
        <f>-F67</f>
        <v>28000</v>
      </c>
      <c r="H73" s="10">
        <f>-H67</f>
        <v>30000</v>
      </c>
      <c r="I73" s="10">
        <f>SUM(D73:H73)</f>
        <v>108000</v>
      </c>
    </row>
    <row r="74" spans="1:9" x14ac:dyDescent="0.25">
      <c r="B74" t="s">
        <v>332</v>
      </c>
      <c r="D74" s="9">
        <f>(D72+D73)/D73</f>
        <v>1.1144047537736492</v>
      </c>
      <c r="E74" s="10"/>
      <c r="F74" s="9">
        <f>(F72+F73)/F73</f>
        <v>1.1184345331603029</v>
      </c>
      <c r="G74" s="10"/>
      <c r="H74" s="9">
        <f>(H72+H73)/H73</f>
        <v>1.1467795915579535</v>
      </c>
    </row>
    <row r="75" spans="1:9" x14ac:dyDescent="0.25">
      <c r="B75" t="s">
        <v>333</v>
      </c>
      <c r="D75" s="9">
        <v>3</v>
      </c>
      <c r="E75" s="9"/>
      <c r="F75" s="9">
        <v>2</v>
      </c>
      <c r="G75" s="9"/>
      <c r="H75" s="9">
        <v>1</v>
      </c>
    </row>
    <row r="76" spans="1:9" x14ac:dyDescent="0.25">
      <c r="B76" t="s">
        <v>0</v>
      </c>
      <c r="D76" s="10">
        <v>2000</v>
      </c>
      <c r="F76" s="10">
        <f>+F73</f>
        <v>28000</v>
      </c>
      <c r="H76" s="10">
        <f>+H73</f>
        <v>30000</v>
      </c>
      <c r="I76" s="144">
        <v>60000</v>
      </c>
    </row>
    <row r="77" spans="1:9" ht="15.75" thickBot="1" x14ac:dyDescent="0.3">
      <c r="B77" t="s">
        <v>374</v>
      </c>
      <c r="D77" s="10">
        <f>D72/D73*D76</f>
        <v>228.80950754729855</v>
      </c>
      <c r="F77" s="10">
        <f>+F72</f>
        <v>3316.1669284884811</v>
      </c>
      <c r="H77" s="10">
        <f>+H72</f>
        <v>4403.3877467386028</v>
      </c>
      <c r="I77" s="38">
        <f>SUM(D77:H77)</f>
        <v>7948.3641827743822</v>
      </c>
    </row>
    <row r="78" spans="1:9" ht="15.75" thickTop="1" x14ac:dyDescent="0.25"/>
  </sheetData>
  <mergeCells count="4">
    <mergeCell ref="F29:H29"/>
    <mergeCell ref="F30:H30"/>
    <mergeCell ref="J30:L30"/>
    <mergeCell ref="J29:L29"/>
  </mergeCells>
  <phoneticPr fontId="14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22" sqref="L22"/>
    </sheetView>
  </sheetViews>
  <sheetFormatPr defaultRowHeight="15" x14ac:dyDescent="0.25"/>
  <cols>
    <col min="2" max="2" width="12.85546875" customWidth="1"/>
    <col min="3" max="3" width="9.5703125" bestFit="1" customWidth="1"/>
    <col min="4" max="4" width="10.28515625" bestFit="1" customWidth="1"/>
    <col min="7" max="7" width="9.5703125" bestFit="1" customWidth="1"/>
  </cols>
  <sheetData>
    <row r="2" spans="1:7" x14ac:dyDescent="0.25">
      <c r="A2" s="8" t="s">
        <v>375</v>
      </c>
    </row>
    <row r="4" spans="1:7" x14ac:dyDescent="0.25">
      <c r="A4" t="s">
        <v>42</v>
      </c>
      <c r="B4" t="s">
        <v>376</v>
      </c>
      <c r="C4" t="s">
        <v>368</v>
      </c>
      <c r="D4" t="s">
        <v>146</v>
      </c>
    </row>
    <row r="5" spans="1:7" x14ac:dyDescent="0.25">
      <c r="A5">
        <v>0</v>
      </c>
      <c r="B5" s="9">
        <v>-5000</v>
      </c>
      <c r="C5" s="34">
        <v>1</v>
      </c>
      <c r="D5" s="9">
        <f>B5*C5</f>
        <v>-5000</v>
      </c>
    </row>
    <row r="6" spans="1:7" x14ac:dyDescent="0.25">
      <c r="A6">
        <v>1</v>
      </c>
      <c r="B6" s="9">
        <v>3000</v>
      </c>
      <c r="C6" s="34">
        <f>+C5/1.1</f>
        <v>0.90909090909090906</v>
      </c>
      <c r="D6" s="9">
        <f t="shared" ref="D6:D9" si="0">B6*C6</f>
        <v>2727.272727272727</v>
      </c>
    </row>
    <row r="7" spans="1:7" x14ac:dyDescent="0.25">
      <c r="A7">
        <v>2</v>
      </c>
      <c r="B7" s="9">
        <v>2000</v>
      </c>
      <c r="C7" s="34">
        <f>+C6/1.1</f>
        <v>0.82644628099173545</v>
      </c>
      <c r="D7" s="9">
        <f t="shared" si="0"/>
        <v>1652.8925619834708</v>
      </c>
    </row>
    <row r="8" spans="1:7" x14ac:dyDescent="0.25">
      <c r="A8">
        <v>3</v>
      </c>
      <c r="B8" s="9">
        <v>1500</v>
      </c>
      <c r="C8" s="34">
        <f t="shared" ref="C8:C9" si="1">+C7/1.1</f>
        <v>0.75131480090157765</v>
      </c>
      <c r="D8" s="9">
        <f t="shared" si="0"/>
        <v>1126.9722013523665</v>
      </c>
    </row>
    <row r="9" spans="1:7" x14ac:dyDescent="0.25">
      <c r="A9">
        <v>4</v>
      </c>
      <c r="B9" s="9">
        <v>1000</v>
      </c>
      <c r="C9" s="34">
        <f t="shared" si="1"/>
        <v>0.68301345536507052</v>
      </c>
      <c r="D9" s="9">
        <f t="shared" si="0"/>
        <v>683.01345536507051</v>
      </c>
    </row>
    <row r="10" spans="1:7" ht="15.75" thickBot="1" x14ac:dyDescent="0.3">
      <c r="C10" t="s">
        <v>148</v>
      </c>
      <c r="D10" s="38">
        <f>SUM(D5:D9)</f>
        <v>1190.1509459736349</v>
      </c>
    </row>
    <row r="11" spans="1:7" ht="15.75" thickTop="1" x14ac:dyDescent="0.25"/>
    <row r="12" spans="1:7" x14ac:dyDescent="0.25">
      <c r="B12" t="s">
        <v>377</v>
      </c>
      <c r="C12" s="18" t="s">
        <v>353</v>
      </c>
      <c r="G12" s="18" t="s">
        <v>146</v>
      </c>
    </row>
    <row r="13" spans="1:7" x14ac:dyDescent="0.25">
      <c r="C13" t="s">
        <v>357</v>
      </c>
      <c r="G13" t="s">
        <v>357</v>
      </c>
    </row>
    <row r="15" spans="1:7" x14ac:dyDescent="0.25">
      <c r="C15" s="181" t="s">
        <v>378</v>
      </c>
      <c r="D15" s="181"/>
      <c r="G15" s="10">
        <f>SUM(D6:D9)</f>
        <v>6190.1509459736344</v>
      </c>
    </row>
    <row r="16" spans="1:7" x14ac:dyDescent="0.25">
      <c r="C16" s="182">
        <v>5000</v>
      </c>
      <c r="D16" s="182"/>
      <c r="G16" s="10">
        <f>+-D5</f>
        <v>5000</v>
      </c>
    </row>
    <row r="18" spans="3:4" x14ac:dyDescent="0.25">
      <c r="C18" s="142">
        <v>6190.15</v>
      </c>
    </row>
    <row r="19" spans="3:4" x14ac:dyDescent="0.25">
      <c r="C19" s="9">
        <v>5000</v>
      </c>
    </row>
    <row r="21" spans="3:4" ht="17.25" x14ac:dyDescent="0.4">
      <c r="C21" s="141">
        <f>C18/C19</f>
        <v>1.23803</v>
      </c>
      <c r="D21" t="s">
        <v>379</v>
      </c>
    </row>
  </sheetData>
  <mergeCells count="2">
    <mergeCell ref="C15:D15"/>
    <mergeCell ref="C16:D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workbookViewId="0">
      <selection activeCell="I22" sqref="I22"/>
    </sheetView>
  </sheetViews>
  <sheetFormatPr defaultRowHeight="15" x14ac:dyDescent="0.25"/>
  <cols>
    <col min="1" max="1" width="28" bestFit="1" customWidth="1"/>
    <col min="2" max="4" width="16.42578125" bestFit="1" customWidth="1"/>
    <col min="5" max="6" width="16.85546875" bestFit="1" customWidth="1"/>
    <col min="7" max="7" width="12.7109375" bestFit="1" customWidth="1"/>
    <col min="11" max="11" width="11.28515625" bestFit="1" customWidth="1"/>
  </cols>
  <sheetData>
    <row r="2" spans="1:9" x14ac:dyDescent="0.25">
      <c r="A2" s="8" t="s">
        <v>380</v>
      </c>
    </row>
    <row r="3" spans="1:9" x14ac:dyDescent="0.25">
      <c r="A3" s="8"/>
    </row>
    <row r="4" spans="1:9" ht="15.75" thickBot="1" x14ac:dyDescent="0.3">
      <c r="A4" t="s">
        <v>381</v>
      </c>
    </row>
    <row r="5" spans="1:9" ht="16.5" thickBot="1" x14ac:dyDescent="0.3">
      <c r="A5" s="81" t="s">
        <v>295</v>
      </c>
      <c r="B5" s="113"/>
      <c r="C5" s="113"/>
      <c r="D5" s="113"/>
      <c r="E5" s="113"/>
      <c r="F5" s="113"/>
      <c r="G5" s="113"/>
    </row>
    <row r="6" spans="1:9" ht="16.5" thickBot="1" x14ac:dyDescent="0.3">
      <c r="A6" s="82" t="s">
        <v>42</v>
      </c>
      <c r="B6" s="83" t="s">
        <v>116</v>
      </c>
      <c r="C6" s="83" t="s">
        <v>167</v>
      </c>
      <c r="D6" s="83" t="s">
        <v>168</v>
      </c>
      <c r="E6" s="83" t="s">
        <v>117</v>
      </c>
      <c r="F6" s="83" t="s">
        <v>169</v>
      </c>
      <c r="G6" s="83" t="s">
        <v>170</v>
      </c>
    </row>
    <row r="7" spans="1:9" ht="15.75" x14ac:dyDescent="0.25">
      <c r="A7" s="84" t="s">
        <v>382</v>
      </c>
      <c r="B7" s="85">
        <v>-100000</v>
      </c>
      <c r="C7" s="86"/>
      <c r="D7" s="86"/>
      <c r="E7" s="86"/>
      <c r="F7" s="86"/>
      <c r="G7" s="86"/>
      <c r="I7" s="33">
        <f>+-B7</f>
        <v>100000</v>
      </c>
    </row>
    <row r="8" spans="1:9" ht="15.75" x14ac:dyDescent="0.25">
      <c r="A8" s="87" t="s">
        <v>383</v>
      </c>
      <c r="B8" s="88"/>
      <c r="C8" s="88"/>
      <c r="D8" s="88"/>
      <c r="E8" s="88"/>
      <c r="F8" s="88"/>
      <c r="G8" s="89">
        <v>14000</v>
      </c>
      <c r="I8">
        <f>100-14</f>
        <v>86</v>
      </c>
    </row>
    <row r="9" spans="1:9" ht="15.75" x14ac:dyDescent="0.25">
      <c r="A9" s="87" t="s">
        <v>384</v>
      </c>
      <c r="B9" s="89">
        <v>6000</v>
      </c>
      <c r="C9" s="88"/>
      <c r="D9" s="88"/>
      <c r="E9" s="88"/>
      <c r="F9" s="88"/>
      <c r="G9" s="88"/>
      <c r="I9">
        <f>+I8/5</f>
        <v>17.2</v>
      </c>
    </row>
    <row r="10" spans="1:9" ht="15.75" x14ac:dyDescent="0.25">
      <c r="A10" s="87" t="s">
        <v>385</v>
      </c>
      <c r="B10" s="88"/>
      <c r="C10" s="89">
        <f>B20/1000</f>
        <v>90000</v>
      </c>
      <c r="D10" s="89">
        <f t="shared" ref="D10:G10" si="0">C20/1000</f>
        <v>60000</v>
      </c>
      <c r="E10" s="89">
        <f t="shared" si="0"/>
        <v>75000</v>
      </c>
      <c r="F10" s="89">
        <f t="shared" si="0"/>
        <v>105000</v>
      </c>
      <c r="G10" s="89">
        <f t="shared" si="0"/>
        <v>120000</v>
      </c>
      <c r="I10">
        <f>40-17.2</f>
        <v>22.8</v>
      </c>
    </row>
    <row r="11" spans="1:9" ht="15.75" x14ac:dyDescent="0.25">
      <c r="A11" s="87" t="s">
        <v>386</v>
      </c>
      <c r="B11" s="88"/>
      <c r="C11" s="89">
        <v>-45000</v>
      </c>
      <c r="D11" s="89">
        <v>-30000</v>
      </c>
      <c r="E11" s="89">
        <v>-37500</v>
      </c>
      <c r="F11" s="89">
        <v>-52500</v>
      </c>
      <c r="G11" s="89">
        <v>-60000</v>
      </c>
    </row>
    <row r="12" spans="1:9" ht="15.75" x14ac:dyDescent="0.25">
      <c r="A12" s="87" t="s">
        <v>387</v>
      </c>
      <c r="B12" s="88"/>
      <c r="C12" s="89">
        <v>-22800</v>
      </c>
      <c r="D12" s="89">
        <v>-22800</v>
      </c>
      <c r="E12" s="89">
        <v>-22800</v>
      </c>
      <c r="F12" s="89">
        <v>-22800</v>
      </c>
      <c r="G12" s="89">
        <v>-22800</v>
      </c>
      <c r="H12" t="s">
        <v>388</v>
      </c>
    </row>
    <row r="13" spans="1:9" ht="16.5" thickBot="1" x14ac:dyDescent="0.3">
      <c r="A13" s="90" t="s">
        <v>389</v>
      </c>
      <c r="B13" s="91">
        <v>-94000</v>
      </c>
      <c r="C13" s="91">
        <v>22200</v>
      </c>
      <c r="D13" s="91">
        <v>7200</v>
      </c>
      <c r="E13" s="91">
        <v>14700</v>
      </c>
      <c r="F13" s="91">
        <v>29700</v>
      </c>
      <c r="G13" s="91">
        <v>51200</v>
      </c>
    </row>
    <row r="15" spans="1:9" ht="15.75" x14ac:dyDescent="0.25">
      <c r="A15" s="92" t="s">
        <v>390</v>
      </c>
    </row>
    <row r="16" spans="1:9" ht="15.75" thickBot="1" x14ac:dyDescent="0.3"/>
    <row r="17" spans="1:6" ht="16.5" thickBot="1" x14ac:dyDescent="0.3">
      <c r="A17" s="93" t="s">
        <v>391</v>
      </c>
      <c r="B17" s="94" t="s">
        <v>167</v>
      </c>
      <c r="C17" s="94" t="s">
        <v>168</v>
      </c>
      <c r="D17" s="94" t="s">
        <v>117</v>
      </c>
      <c r="E17" s="94" t="s">
        <v>169</v>
      </c>
      <c r="F17" s="94" t="s">
        <v>170</v>
      </c>
    </row>
    <row r="18" spans="1:6" ht="15.75" x14ac:dyDescent="0.25">
      <c r="A18" s="84" t="s">
        <v>392</v>
      </c>
      <c r="B18" s="85">
        <v>30000</v>
      </c>
      <c r="C18" s="85">
        <v>20000</v>
      </c>
      <c r="D18" s="85">
        <v>25000</v>
      </c>
      <c r="E18" s="85">
        <v>35000</v>
      </c>
      <c r="F18" s="85">
        <v>40000</v>
      </c>
    </row>
    <row r="19" spans="1:6" ht="15.75" x14ac:dyDescent="0.25">
      <c r="A19" s="87" t="s">
        <v>393</v>
      </c>
      <c r="B19" s="89">
        <v>3000</v>
      </c>
      <c r="C19" s="89">
        <v>3000</v>
      </c>
      <c r="D19" s="89">
        <v>3000</v>
      </c>
      <c r="E19" s="89">
        <v>3000</v>
      </c>
      <c r="F19" s="89">
        <v>3000</v>
      </c>
    </row>
    <row r="20" spans="1:6" ht="15.75" x14ac:dyDescent="0.25">
      <c r="A20" s="87" t="s">
        <v>385</v>
      </c>
      <c r="B20" s="95">
        <v>90000000</v>
      </c>
      <c r="C20" s="95">
        <v>60000000</v>
      </c>
      <c r="D20" s="95">
        <v>75000000</v>
      </c>
      <c r="E20" s="95">
        <v>105000000</v>
      </c>
      <c r="F20" s="95">
        <v>120000000</v>
      </c>
    </row>
    <row r="21" spans="1:6" ht="15.75" x14ac:dyDescent="0.25">
      <c r="A21" s="87" t="s">
        <v>394</v>
      </c>
      <c r="B21" s="89">
        <v>1500</v>
      </c>
      <c r="C21" s="89">
        <v>1500</v>
      </c>
      <c r="D21" s="89">
        <v>1500</v>
      </c>
      <c r="E21" s="89">
        <v>1500</v>
      </c>
      <c r="F21" s="89">
        <v>1500</v>
      </c>
    </row>
    <row r="22" spans="1:6" ht="15.75" x14ac:dyDescent="0.25">
      <c r="A22" s="87" t="s">
        <v>386</v>
      </c>
      <c r="B22" s="95">
        <v>45000000</v>
      </c>
      <c r="C22" s="95">
        <v>30000000</v>
      </c>
      <c r="D22" s="95">
        <v>37500000</v>
      </c>
      <c r="E22" s="95">
        <v>52500000</v>
      </c>
      <c r="F22" s="95">
        <v>60000000</v>
      </c>
    </row>
    <row r="23" spans="1:6" ht="15.75" x14ac:dyDescent="0.25">
      <c r="A23" s="87" t="s">
        <v>395</v>
      </c>
      <c r="B23" s="89">
        <v>40000000</v>
      </c>
      <c r="C23" s="89">
        <v>40000000</v>
      </c>
      <c r="D23" s="89">
        <v>40000000</v>
      </c>
      <c r="E23" s="89">
        <v>40000000</v>
      </c>
      <c r="F23" s="89">
        <v>40000000</v>
      </c>
    </row>
    <row r="24" spans="1:6" ht="15.75" x14ac:dyDescent="0.25">
      <c r="A24" s="87" t="s">
        <v>396</v>
      </c>
      <c r="B24" s="89">
        <v>-17200000</v>
      </c>
      <c r="C24" s="89">
        <v>-17200000</v>
      </c>
      <c r="D24" s="89">
        <v>-17200000</v>
      </c>
      <c r="E24" s="89">
        <v>-17200000</v>
      </c>
      <c r="F24" s="89">
        <v>-17200000</v>
      </c>
    </row>
    <row r="25" spans="1:6" ht="16.5" thickBot="1" x14ac:dyDescent="0.3">
      <c r="A25" s="90" t="s">
        <v>387</v>
      </c>
      <c r="B25" s="96">
        <v>22800000</v>
      </c>
      <c r="C25" s="96">
        <v>22800000</v>
      </c>
      <c r="D25" s="96">
        <v>22800000</v>
      </c>
      <c r="E25" s="96">
        <v>22800000</v>
      </c>
      <c r="F25" s="96">
        <v>22800000</v>
      </c>
    </row>
    <row r="26" spans="1:6" ht="15.75" thickBot="1" x14ac:dyDescent="0.3"/>
    <row r="27" spans="1:6" ht="15.75" x14ac:dyDescent="0.25">
      <c r="A27" s="183" t="s">
        <v>397</v>
      </c>
      <c r="B27" s="84" t="s">
        <v>133</v>
      </c>
      <c r="C27" s="97">
        <v>100000000</v>
      </c>
    </row>
    <row r="28" spans="1:6" ht="15.75" x14ac:dyDescent="0.25">
      <c r="A28" s="184"/>
      <c r="B28" s="87" t="s">
        <v>398</v>
      </c>
      <c r="C28" s="98">
        <v>-14000000</v>
      </c>
    </row>
    <row r="29" spans="1:6" ht="15.75" x14ac:dyDescent="0.25">
      <c r="A29" s="184"/>
      <c r="B29" s="87" t="s">
        <v>399</v>
      </c>
      <c r="C29" s="98">
        <v>86000000</v>
      </c>
    </row>
    <row r="30" spans="1:6" ht="15.75" x14ac:dyDescent="0.25">
      <c r="A30" s="184"/>
      <c r="B30" s="87" t="s">
        <v>400</v>
      </c>
      <c r="C30" s="99">
        <v>5</v>
      </c>
    </row>
    <row r="31" spans="1:6" ht="16.5" thickBot="1" x14ac:dyDescent="0.3">
      <c r="A31" s="185"/>
      <c r="B31" s="90" t="s">
        <v>401</v>
      </c>
      <c r="C31" s="100">
        <v>17200000</v>
      </c>
    </row>
    <row r="34" spans="1:11" x14ac:dyDescent="0.25">
      <c r="A34" t="s">
        <v>55</v>
      </c>
    </row>
    <row r="35" spans="1:11" ht="15.75" thickBot="1" x14ac:dyDescent="0.3">
      <c r="A35" t="s">
        <v>402</v>
      </c>
    </row>
    <row r="36" spans="1:11" ht="16.5" thickBot="1" x14ac:dyDescent="0.3">
      <c r="A36" s="93" t="s">
        <v>295</v>
      </c>
      <c r="B36" s="94" t="s">
        <v>43</v>
      </c>
      <c r="C36" s="94" t="s">
        <v>403</v>
      </c>
      <c r="D36" s="94" t="s">
        <v>404</v>
      </c>
    </row>
    <row r="37" spans="1:11" ht="15.75" x14ac:dyDescent="0.25">
      <c r="A37" s="84" t="s">
        <v>116</v>
      </c>
      <c r="B37" s="97">
        <v>-94000</v>
      </c>
      <c r="C37" s="114">
        <v>1</v>
      </c>
      <c r="D37" s="97">
        <v>-94000</v>
      </c>
    </row>
    <row r="38" spans="1:11" ht="15.75" x14ac:dyDescent="0.25">
      <c r="A38" s="87" t="s">
        <v>167</v>
      </c>
      <c r="B38" s="98">
        <v>22200</v>
      </c>
      <c r="C38" s="115">
        <f>+C37/1.2</f>
        <v>0.83333333333333337</v>
      </c>
      <c r="D38" s="98">
        <v>18493</v>
      </c>
    </row>
    <row r="39" spans="1:11" ht="15.75" x14ac:dyDescent="0.25">
      <c r="A39" s="87" t="s">
        <v>168</v>
      </c>
      <c r="B39" s="98">
        <v>7200</v>
      </c>
      <c r="C39" s="115">
        <f>+C38/1.2</f>
        <v>0.69444444444444453</v>
      </c>
      <c r="D39" s="98">
        <v>4997</v>
      </c>
    </row>
    <row r="40" spans="1:11" ht="15.75" x14ac:dyDescent="0.25">
      <c r="A40" s="87" t="s">
        <v>117</v>
      </c>
      <c r="B40" s="98">
        <v>14700</v>
      </c>
      <c r="C40" s="115">
        <f t="shared" ref="C40:C42" si="1">+C39/1.2</f>
        <v>0.57870370370370383</v>
      </c>
      <c r="D40" s="98">
        <v>8511</v>
      </c>
    </row>
    <row r="41" spans="1:11" ht="15.75" x14ac:dyDescent="0.25">
      <c r="A41" s="87" t="s">
        <v>169</v>
      </c>
      <c r="B41" s="98">
        <v>29700</v>
      </c>
      <c r="C41" s="115">
        <f t="shared" si="1"/>
        <v>0.48225308641975323</v>
      </c>
      <c r="D41" s="98">
        <v>14315</v>
      </c>
    </row>
    <row r="42" spans="1:11" ht="15.75" x14ac:dyDescent="0.25">
      <c r="A42" s="87" t="s">
        <v>170</v>
      </c>
      <c r="B42" s="98">
        <v>51200</v>
      </c>
      <c r="C42" s="115">
        <f t="shared" si="1"/>
        <v>0.40187757201646102</v>
      </c>
      <c r="D42" s="98">
        <v>20582</v>
      </c>
    </row>
    <row r="43" spans="1:11" ht="16.5" thickBot="1" x14ac:dyDescent="0.3">
      <c r="A43" s="116"/>
      <c r="B43" s="116"/>
      <c r="C43" s="101" t="s">
        <v>148</v>
      </c>
      <c r="D43" s="100">
        <v>-27102</v>
      </c>
    </row>
    <row r="45" spans="1:11" x14ac:dyDescent="0.25">
      <c r="A45" t="s">
        <v>405</v>
      </c>
    </row>
    <row r="46" spans="1:11" ht="16.5" thickBot="1" x14ac:dyDescent="0.3">
      <c r="A46" s="186" t="s">
        <v>281</v>
      </c>
      <c r="B46" s="186" t="s">
        <v>284</v>
      </c>
      <c r="C46" s="186" t="s">
        <v>34</v>
      </c>
      <c r="D46" s="186" t="s">
        <v>285</v>
      </c>
      <c r="E46" s="189" t="s">
        <v>406</v>
      </c>
      <c r="F46" s="189"/>
      <c r="G46" s="189"/>
      <c r="H46" s="186" t="s">
        <v>407</v>
      </c>
      <c r="I46" s="186" t="s">
        <v>408</v>
      </c>
    </row>
    <row r="47" spans="1:11" ht="15.75" x14ac:dyDescent="0.25">
      <c r="A47" s="186"/>
      <c r="B47" s="186"/>
      <c r="C47" s="186"/>
      <c r="D47" s="186"/>
      <c r="E47" s="102" t="s">
        <v>406</v>
      </c>
      <c r="F47" s="103" t="s">
        <v>291</v>
      </c>
      <c r="G47" s="103" t="s">
        <v>409</v>
      </c>
      <c r="H47" s="186"/>
      <c r="I47" s="186"/>
    </row>
    <row r="48" spans="1:11" ht="16.5" thickBot="1" x14ac:dyDescent="0.3">
      <c r="B48" s="186" t="s">
        <v>284</v>
      </c>
      <c r="C48" s="187">
        <v>0.1</v>
      </c>
      <c r="D48" s="186" t="s">
        <v>285</v>
      </c>
      <c r="E48" s="188">
        <v>-4747</v>
      </c>
      <c r="F48" s="188"/>
      <c r="G48" s="188"/>
      <c r="H48" s="186" t="s">
        <v>407</v>
      </c>
      <c r="I48" s="186" t="s">
        <v>410</v>
      </c>
      <c r="K48" s="9">
        <v>-4747</v>
      </c>
    </row>
    <row r="49" spans="1:14" ht="15.75" x14ac:dyDescent="0.25">
      <c r="B49" s="186"/>
      <c r="C49" s="187"/>
      <c r="D49" s="186"/>
      <c r="E49" s="104">
        <v>-4747</v>
      </c>
      <c r="F49" s="103" t="s">
        <v>291</v>
      </c>
      <c r="G49" s="105">
        <v>-27102</v>
      </c>
      <c r="H49" s="186"/>
      <c r="I49" s="186"/>
      <c r="K49" s="9">
        <f>27102-4747</f>
        <v>22355</v>
      </c>
    </row>
    <row r="50" spans="1:14" x14ac:dyDescent="0.25">
      <c r="B50" s="186" t="s">
        <v>284</v>
      </c>
      <c r="C50" s="187">
        <v>0.1</v>
      </c>
      <c r="D50" s="186" t="s">
        <v>285</v>
      </c>
      <c r="E50" s="186">
        <v>-0.21240000000000001</v>
      </c>
      <c r="F50" s="186" t="s">
        <v>407</v>
      </c>
      <c r="G50" s="186">
        <v>0.1</v>
      </c>
      <c r="K50" s="35">
        <f>+K48/K49</f>
        <v>-0.21234623126817267</v>
      </c>
    </row>
    <row r="51" spans="1:14" x14ac:dyDescent="0.25">
      <c r="B51" s="186"/>
      <c r="C51" s="187"/>
      <c r="D51" s="186"/>
      <c r="E51" s="186"/>
      <c r="F51" s="186"/>
      <c r="G51" s="186"/>
    </row>
    <row r="52" spans="1:14" ht="15.75" x14ac:dyDescent="0.25">
      <c r="B52" s="102" t="s">
        <v>284</v>
      </c>
      <c r="C52" s="106">
        <v>7.8799999999999995E-2</v>
      </c>
    </row>
    <row r="53" spans="1:14" x14ac:dyDescent="0.25">
      <c r="G53" t="s">
        <v>148</v>
      </c>
      <c r="I53">
        <v>0</v>
      </c>
      <c r="K53" s="76">
        <f>+F63</f>
        <v>-4747</v>
      </c>
      <c r="N53">
        <v>-27107</v>
      </c>
    </row>
    <row r="54" spans="1:14" ht="15.75" x14ac:dyDescent="0.25">
      <c r="A54" s="92" t="s">
        <v>411</v>
      </c>
      <c r="H54" s="27"/>
      <c r="I54" s="27"/>
      <c r="J54" s="27"/>
      <c r="K54" s="27"/>
      <c r="L54" s="27"/>
      <c r="M54" s="27"/>
      <c r="N54" s="27"/>
    </row>
    <row r="55" spans="1:14" ht="16.5" thickBot="1" x14ac:dyDescent="0.3">
      <c r="A55" s="107"/>
      <c r="E55" s="1" t="s">
        <v>412</v>
      </c>
      <c r="G55" t="s">
        <v>413</v>
      </c>
      <c r="I55" s="117">
        <v>7.8799999999999995E-2</v>
      </c>
      <c r="K55" s="16">
        <v>0.1</v>
      </c>
      <c r="N55" s="3">
        <v>0.2</v>
      </c>
    </row>
    <row r="56" spans="1:14" ht="15.75" x14ac:dyDescent="0.25">
      <c r="A56" s="108" t="s">
        <v>295</v>
      </c>
      <c r="B56" s="109" t="s">
        <v>43</v>
      </c>
      <c r="C56" s="109" t="s">
        <v>403</v>
      </c>
      <c r="D56" s="109" t="s">
        <v>404</v>
      </c>
      <c r="E56" s="112" t="s">
        <v>145</v>
      </c>
      <c r="F56" s="109" t="s">
        <v>404</v>
      </c>
    </row>
    <row r="57" spans="1:14" ht="15.75" x14ac:dyDescent="0.25">
      <c r="A57" s="87" t="s">
        <v>116</v>
      </c>
      <c r="B57" s="98">
        <v>-94000</v>
      </c>
      <c r="C57" s="99">
        <v>1</v>
      </c>
      <c r="D57" s="98">
        <v>-94000</v>
      </c>
      <c r="E57" s="99">
        <v>1</v>
      </c>
      <c r="F57" s="98">
        <v>-94000</v>
      </c>
    </row>
    <row r="58" spans="1:14" ht="15.75" x14ac:dyDescent="0.25">
      <c r="A58" s="87" t="s">
        <v>167</v>
      </c>
      <c r="B58" s="98">
        <v>22200</v>
      </c>
      <c r="C58" s="99">
        <v>0.83299999999999996</v>
      </c>
      <c r="D58" s="110">
        <v>18492.599999999999</v>
      </c>
      <c r="E58" s="99">
        <v>0.90900000000000003</v>
      </c>
      <c r="F58" s="98">
        <v>20182</v>
      </c>
    </row>
    <row r="59" spans="1:14" ht="15.75" x14ac:dyDescent="0.25">
      <c r="A59" s="87" t="s">
        <v>168</v>
      </c>
      <c r="B59" s="98">
        <v>7200</v>
      </c>
      <c r="C59" s="99">
        <v>0.69399999999999995</v>
      </c>
      <c r="D59" s="110">
        <v>4996.8</v>
      </c>
      <c r="E59" s="99">
        <v>0.82599999999999996</v>
      </c>
      <c r="F59" s="98">
        <v>5950</v>
      </c>
    </row>
    <row r="60" spans="1:14" ht="15.75" x14ac:dyDescent="0.25">
      <c r="A60" s="87" t="s">
        <v>117</v>
      </c>
      <c r="B60" s="98">
        <v>14700</v>
      </c>
      <c r="C60" s="99">
        <v>0.57899999999999996</v>
      </c>
      <c r="D60" s="110">
        <v>8511.2999999999993</v>
      </c>
      <c r="E60" s="99">
        <v>0.751</v>
      </c>
      <c r="F60" s="98">
        <v>11044</v>
      </c>
    </row>
    <row r="61" spans="1:14" ht="15.75" x14ac:dyDescent="0.25">
      <c r="A61" s="87" t="s">
        <v>169</v>
      </c>
      <c r="B61" s="98">
        <v>29700</v>
      </c>
      <c r="C61" s="99">
        <v>0.48199999999999998</v>
      </c>
      <c r="D61" s="110">
        <v>14315.4</v>
      </c>
      <c r="E61" s="99">
        <v>0.68300000000000005</v>
      </c>
      <c r="F61" s="98">
        <v>20285</v>
      </c>
    </row>
    <row r="62" spans="1:14" ht="15.75" x14ac:dyDescent="0.25">
      <c r="A62" s="87" t="s">
        <v>170</v>
      </c>
      <c r="B62" s="98">
        <v>51200</v>
      </c>
      <c r="C62" s="99">
        <v>0.40200000000000002</v>
      </c>
      <c r="D62" s="110">
        <v>20582.400000000001</v>
      </c>
      <c r="E62" s="99">
        <v>0.621</v>
      </c>
      <c r="F62" s="98">
        <v>31791</v>
      </c>
    </row>
    <row r="63" spans="1:14" ht="16.5" thickBot="1" x14ac:dyDescent="0.3">
      <c r="A63" s="116"/>
      <c r="B63" s="116"/>
      <c r="C63" s="101" t="s">
        <v>148</v>
      </c>
      <c r="D63" s="111">
        <v>-27102</v>
      </c>
      <c r="E63" s="116"/>
      <c r="F63" s="111">
        <v>-4747</v>
      </c>
    </row>
    <row r="64" spans="1:14" ht="15.75" x14ac:dyDescent="0.25">
      <c r="A64" s="107"/>
      <c r="D64" t="s">
        <v>409</v>
      </c>
      <c r="F64" t="s">
        <v>406</v>
      </c>
    </row>
  </sheetData>
  <mergeCells count="20">
    <mergeCell ref="G50:G51"/>
    <mergeCell ref="H46:H47"/>
    <mergeCell ref="I46:I47"/>
    <mergeCell ref="B48:B49"/>
    <mergeCell ref="C48:C49"/>
    <mergeCell ref="D48:D49"/>
    <mergeCell ref="E48:G48"/>
    <mergeCell ref="H48:H49"/>
    <mergeCell ref="I48:I49"/>
    <mergeCell ref="E46:G46"/>
    <mergeCell ref="B50:B51"/>
    <mergeCell ref="C50:C51"/>
    <mergeCell ref="D50:D51"/>
    <mergeCell ref="E50:E51"/>
    <mergeCell ref="F50:F51"/>
    <mergeCell ref="A27:A31"/>
    <mergeCell ref="A46:A47"/>
    <mergeCell ref="B46:B47"/>
    <mergeCell ref="C46:C47"/>
    <mergeCell ref="D46:D4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workbookViewId="0">
      <selection activeCell="G21" sqref="G21"/>
    </sheetView>
  </sheetViews>
  <sheetFormatPr defaultRowHeight="15" x14ac:dyDescent="0.25"/>
  <cols>
    <col min="1" max="1" width="29.7109375" style="119" bestFit="1" customWidth="1"/>
    <col min="2" max="2" width="15" style="119" bestFit="1" customWidth="1"/>
    <col min="3" max="3" width="20.42578125" style="119" customWidth="1"/>
    <col min="4" max="4" width="17.42578125" style="119" bestFit="1" customWidth="1"/>
    <col min="5" max="5" width="23.85546875" style="119" customWidth="1"/>
    <col min="6" max="6" width="20.42578125" style="119" bestFit="1" customWidth="1"/>
    <col min="7" max="7" width="19.42578125" style="119" bestFit="1" customWidth="1"/>
    <col min="8" max="8" width="14" style="119" bestFit="1" customWidth="1"/>
    <col min="9" max="16384" width="9.140625" style="119"/>
  </cols>
  <sheetData>
    <row r="2" spans="1:8" x14ac:dyDescent="0.25">
      <c r="A2" s="121" t="s">
        <v>414</v>
      </c>
      <c r="E2" s="1" t="s">
        <v>415</v>
      </c>
    </row>
    <row r="3" spans="1:8" x14ac:dyDescent="0.25">
      <c r="A3" s="118"/>
      <c r="E3" s="1" t="s">
        <v>416</v>
      </c>
    </row>
    <row r="4" spans="1:8" x14ac:dyDescent="0.25">
      <c r="A4" s="119" t="s">
        <v>417</v>
      </c>
      <c r="E4" s="1" t="s">
        <v>418</v>
      </c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121" t="s">
        <v>42</v>
      </c>
      <c r="B6" s="121">
        <v>0</v>
      </c>
      <c r="C6" s="121">
        <v>1</v>
      </c>
      <c r="D6" s="121">
        <v>2</v>
      </c>
      <c r="E6" s="121">
        <v>3</v>
      </c>
      <c r="F6" s="121">
        <v>4</v>
      </c>
      <c r="G6" s="121">
        <v>5</v>
      </c>
      <c r="H6" s="121">
        <v>6</v>
      </c>
    </row>
    <row r="7" spans="1:8" x14ac:dyDescent="0.25">
      <c r="A7" s="22" t="s">
        <v>419</v>
      </c>
      <c r="B7" s="122">
        <v>-42000000</v>
      </c>
      <c r="C7" s="22"/>
      <c r="D7" s="22"/>
      <c r="E7" s="22"/>
      <c r="F7" s="22"/>
      <c r="G7" s="122">
        <v>0</v>
      </c>
      <c r="H7" s="22"/>
    </row>
    <row r="8" spans="1:8" x14ac:dyDescent="0.25">
      <c r="A8" s="22" t="s">
        <v>420</v>
      </c>
      <c r="B8" s="122">
        <v>400000</v>
      </c>
      <c r="C8" s="22"/>
      <c r="D8" s="22"/>
      <c r="E8" s="22"/>
      <c r="F8" s="22"/>
      <c r="G8" s="22"/>
      <c r="H8" s="22"/>
    </row>
    <row r="9" spans="1:8" x14ac:dyDescent="0.25">
      <c r="A9" s="22" t="s">
        <v>230</v>
      </c>
      <c r="B9" s="22"/>
      <c r="C9" s="124">
        <f>30000*12*125</f>
        <v>45000000</v>
      </c>
      <c r="D9" s="124">
        <f>32000*12*125</f>
        <v>48000000</v>
      </c>
      <c r="E9" s="124">
        <f>38000*12*125</f>
        <v>57000000</v>
      </c>
      <c r="F9" s="124">
        <f>40500*12*130</f>
        <v>63180000</v>
      </c>
      <c r="G9" s="124">
        <f>43000*12*130</f>
        <v>67080000</v>
      </c>
      <c r="H9" s="22"/>
    </row>
    <row r="10" spans="1:8" x14ac:dyDescent="0.25">
      <c r="A10" s="22"/>
      <c r="B10" s="22"/>
      <c r="C10" s="132" t="s">
        <v>421</v>
      </c>
      <c r="D10" s="132" t="s">
        <v>422</v>
      </c>
      <c r="E10" s="132" t="s">
        <v>423</v>
      </c>
      <c r="F10" s="132" t="s">
        <v>424</v>
      </c>
      <c r="G10" s="132" t="s">
        <v>425</v>
      </c>
      <c r="H10" s="22"/>
    </row>
    <row r="11" spans="1:8" x14ac:dyDescent="0.25">
      <c r="A11" s="22" t="s">
        <v>426</v>
      </c>
      <c r="B11" s="22"/>
      <c r="C11" s="124">
        <f>-30000*12*70</f>
        <v>-25200000</v>
      </c>
      <c r="D11" s="124">
        <f>-32000*12*70*1.08</f>
        <v>-29030400.000000004</v>
      </c>
      <c r="E11" s="124">
        <f>-38000*12*70*1.08^2</f>
        <v>-37231488</v>
      </c>
      <c r="F11" s="124">
        <f>-40500*12*70*1.08^3</f>
        <v>-42855402.240000002</v>
      </c>
      <c r="G11" s="124">
        <f>-43000*12*70*1.08^4</f>
        <v>-49140861.23520001</v>
      </c>
      <c r="H11" s="22"/>
    </row>
    <row r="12" spans="1:8" x14ac:dyDescent="0.25">
      <c r="A12" s="22"/>
      <c r="B12" s="22"/>
      <c r="C12" s="132" t="s">
        <v>427</v>
      </c>
      <c r="D12" s="132" t="s">
        <v>428</v>
      </c>
      <c r="E12" s="132" t="s">
        <v>429</v>
      </c>
      <c r="F12" s="132" t="s">
        <v>430</v>
      </c>
      <c r="G12" s="132" t="s">
        <v>431</v>
      </c>
      <c r="H12" s="22"/>
    </row>
    <row r="13" spans="1:8" x14ac:dyDescent="0.25">
      <c r="A13" s="22" t="s">
        <v>432</v>
      </c>
      <c r="B13" s="22"/>
      <c r="C13" s="122">
        <v>-5850000</v>
      </c>
      <c r="D13" s="122">
        <v>-5850000</v>
      </c>
      <c r="E13" s="122">
        <v>-5850000</v>
      </c>
      <c r="F13" s="122">
        <v>-5850000</v>
      </c>
      <c r="G13" s="122">
        <v>-5850000</v>
      </c>
      <c r="H13" s="22"/>
    </row>
    <row r="14" spans="1:8" x14ac:dyDescent="0.25">
      <c r="A14" s="22" t="s">
        <v>433</v>
      </c>
      <c r="B14" s="22"/>
      <c r="C14" s="133">
        <v>0</v>
      </c>
      <c r="D14" s="133">
        <v>0</v>
      </c>
      <c r="E14" s="133">
        <v>0</v>
      </c>
      <c r="F14" s="126">
        <v>-200000</v>
      </c>
      <c r="G14" s="126">
        <v>-250000</v>
      </c>
      <c r="H14" s="22"/>
    </row>
    <row r="15" spans="1:8" x14ac:dyDescent="0.25">
      <c r="A15" s="22" t="s">
        <v>434</v>
      </c>
      <c r="B15" s="22"/>
      <c r="C15" s="127">
        <f>C9+C11+C13+C14</f>
        <v>13950000</v>
      </c>
      <c r="D15" s="127">
        <f t="shared" ref="D15:G15" si="0">D9+D11+D13+D14</f>
        <v>13119599.999999996</v>
      </c>
      <c r="E15" s="127">
        <f t="shared" si="0"/>
        <v>13918512</v>
      </c>
      <c r="F15" s="127">
        <f t="shared" si="0"/>
        <v>14274597.759999998</v>
      </c>
      <c r="G15" s="127">
        <f t="shared" si="0"/>
        <v>11839138.76479999</v>
      </c>
      <c r="H15" s="22"/>
    </row>
    <row r="16" spans="1:8" x14ac:dyDescent="0.25">
      <c r="A16" s="22" t="s">
        <v>250</v>
      </c>
      <c r="B16" s="123"/>
      <c r="C16" s="128">
        <f>C29</f>
        <v>-112000.00000000001</v>
      </c>
      <c r="D16" s="128">
        <f t="shared" ref="D16:H16" si="1">D29</f>
        <v>14000.000000000002</v>
      </c>
      <c r="E16" s="128">
        <f t="shared" si="1"/>
        <v>246512.00000000108</v>
      </c>
      <c r="F16" s="128">
        <f t="shared" si="1"/>
        <v>22816.640000000003</v>
      </c>
      <c r="G16" s="128">
        <f t="shared" si="1"/>
        <v>-3996887.3728</v>
      </c>
      <c r="H16" s="128">
        <f t="shared" si="1"/>
        <v>-3314958.8541439977</v>
      </c>
    </row>
    <row r="17" spans="1:8" x14ac:dyDescent="0.25">
      <c r="A17" s="119" t="s">
        <v>144</v>
      </c>
      <c r="B17" s="124">
        <f>SUM(B7:B16)</f>
        <v>-41600000</v>
      </c>
      <c r="C17" s="124">
        <f>SUM(C15:C16)</f>
        <v>13838000</v>
      </c>
      <c r="D17" s="124">
        <f t="shared" ref="D17:H17" si="2">SUM(D15:D16)</f>
        <v>13133599.999999996</v>
      </c>
      <c r="E17" s="124">
        <f t="shared" si="2"/>
        <v>14165024.000000002</v>
      </c>
      <c r="F17" s="124">
        <f t="shared" si="2"/>
        <v>14297414.399999999</v>
      </c>
      <c r="G17" s="124">
        <f t="shared" si="2"/>
        <v>7842251.3919999897</v>
      </c>
      <c r="H17" s="124">
        <f t="shared" si="2"/>
        <v>-3314958.8541439977</v>
      </c>
    </row>
    <row r="18" spans="1:8" x14ac:dyDescent="0.25">
      <c r="A18" s="22" t="s">
        <v>234</v>
      </c>
      <c r="B18" s="129">
        <v>1</v>
      </c>
      <c r="C18" s="129">
        <f>B18/1.15</f>
        <v>0.86956521739130443</v>
      </c>
      <c r="D18" s="129">
        <f t="shared" ref="D18:H18" si="3">C18/1.15</f>
        <v>0.7561436672967865</v>
      </c>
      <c r="E18" s="129">
        <f t="shared" si="3"/>
        <v>0.65751623243198831</v>
      </c>
      <c r="F18" s="129">
        <f t="shared" si="3"/>
        <v>0.57175324559303331</v>
      </c>
      <c r="G18" s="129">
        <f t="shared" si="3"/>
        <v>0.49717673529828987</v>
      </c>
      <c r="H18" s="129">
        <f t="shared" si="3"/>
        <v>0.43232759591155645</v>
      </c>
    </row>
    <row r="19" spans="1:8" x14ac:dyDescent="0.25">
      <c r="A19" s="22" t="s">
        <v>146</v>
      </c>
      <c r="B19" s="124">
        <f>B17*B18</f>
        <v>-41600000</v>
      </c>
      <c r="C19" s="124">
        <f t="shared" ref="C19:H19" si="4">C17*C18</f>
        <v>12033043.478260871</v>
      </c>
      <c r="D19" s="124">
        <f t="shared" si="4"/>
        <v>9930888.4688090719</v>
      </c>
      <c r="E19" s="124">
        <f t="shared" si="4"/>
        <v>9313733.2127886936</v>
      </c>
      <c r="F19" s="124">
        <f t="shared" si="4"/>
        <v>8174593.0867885705</v>
      </c>
      <c r="G19" s="124">
        <f t="shared" si="4"/>
        <v>3898984.9444630244</v>
      </c>
      <c r="H19" s="124">
        <f t="shared" si="4"/>
        <v>-1433148.1919578025</v>
      </c>
    </row>
    <row r="20" spans="1:8" ht="15.75" thickBot="1" x14ac:dyDescent="0.3">
      <c r="A20" s="121" t="s">
        <v>148</v>
      </c>
      <c r="B20" s="130">
        <f>SUM(B19:H19)</f>
        <v>318094.99915242894</v>
      </c>
      <c r="C20" s="124"/>
      <c r="D20" s="124"/>
      <c r="E20" s="124"/>
      <c r="F20" s="124"/>
      <c r="G20" s="124"/>
      <c r="H20" s="124"/>
    </row>
    <row r="21" spans="1:8" ht="15.75" thickTop="1" x14ac:dyDescent="0.25">
      <c r="A21" s="22"/>
      <c r="B21" s="124"/>
      <c r="C21" s="124"/>
      <c r="D21" s="124"/>
      <c r="E21" s="124"/>
      <c r="F21" s="124"/>
      <c r="G21" s="124"/>
      <c r="H21" s="124"/>
    </row>
    <row r="22" spans="1:8" x14ac:dyDescent="0.25">
      <c r="A22" s="121" t="s">
        <v>435</v>
      </c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134" t="s">
        <v>116</v>
      </c>
      <c r="C23" s="134" t="s">
        <v>167</v>
      </c>
      <c r="D23" s="134" t="s">
        <v>168</v>
      </c>
      <c r="E23" s="134" t="s">
        <v>117</v>
      </c>
      <c r="F23" s="134" t="s">
        <v>169</v>
      </c>
      <c r="G23" s="134" t="s">
        <v>170</v>
      </c>
      <c r="H23" s="134" t="s">
        <v>171</v>
      </c>
    </row>
    <row r="24" spans="1:8" x14ac:dyDescent="0.25">
      <c r="A24" s="22" t="s">
        <v>434</v>
      </c>
      <c r="B24" s="124"/>
      <c r="C24" s="124">
        <f>+C15</f>
        <v>13950000</v>
      </c>
      <c r="D24" s="124">
        <f>+D15</f>
        <v>13119599.999999996</v>
      </c>
      <c r="E24" s="124">
        <f>+E15</f>
        <v>13918512</v>
      </c>
      <c r="F24" s="124">
        <f>+F15</f>
        <v>14274597.759999998</v>
      </c>
      <c r="G24" s="124">
        <f>+G15</f>
        <v>11839138.76479999</v>
      </c>
      <c r="H24" s="124">
        <v>0</v>
      </c>
    </row>
    <row r="25" spans="1:8" x14ac:dyDescent="0.25">
      <c r="A25" s="22" t="s">
        <v>436</v>
      </c>
      <c r="B25" s="124">
        <f>+B8</f>
        <v>400000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</row>
    <row r="26" spans="1:8" x14ac:dyDescent="0.25">
      <c r="A26" s="22" t="s">
        <v>437</v>
      </c>
      <c r="B26" s="126">
        <v>0</v>
      </c>
      <c r="C26" s="126">
        <f>+B7/3</f>
        <v>-14000000</v>
      </c>
      <c r="D26" s="126">
        <f>+B7/3</f>
        <v>-14000000</v>
      </c>
      <c r="E26" s="126">
        <f>+B7/3</f>
        <v>-14000000</v>
      </c>
      <c r="F26" s="126">
        <v>0</v>
      </c>
      <c r="G26" s="126">
        <v>0</v>
      </c>
      <c r="H26" s="126">
        <v>0</v>
      </c>
    </row>
    <row r="27" spans="1:8" x14ac:dyDescent="0.25">
      <c r="A27" s="22" t="s">
        <v>261</v>
      </c>
      <c r="B27" s="131">
        <f>SUM(B24:B26)</f>
        <v>400000</v>
      </c>
      <c r="C27" s="131">
        <f t="shared" ref="C27:H27" si="5">SUM(C24:C26)</f>
        <v>-50000</v>
      </c>
      <c r="D27" s="131">
        <f t="shared" si="5"/>
        <v>-880400.00000000373</v>
      </c>
      <c r="E27" s="131">
        <f t="shared" si="5"/>
        <v>-81488</v>
      </c>
      <c r="F27" s="131">
        <f t="shared" si="5"/>
        <v>14274597.759999998</v>
      </c>
      <c r="G27" s="131">
        <f t="shared" si="5"/>
        <v>11839138.76479999</v>
      </c>
      <c r="H27" s="131">
        <f t="shared" si="5"/>
        <v>0</v>
      </c>
    </row>
    <row r="28" spans="1:8" x14ac:dyDescent="0.25">
      <c r="A28" s="22" t="s">
        <v>307</v>
      </c>
      <c r="B28" s="122">
        <f>+B27*0.28</f>
        <v>112000.00000000001</v>
      </c>
      <c r="C28" s="122">
        <f t="shared" ref="C28:G28" si="6">+C27*0.28</f>
        <v>-14000.000000000002</v>
      </c>
      <c r="D28" s="122">
        <f t="shared" si="6"/>
        <v>-246512.00000000108</v>
      </c>
      <c r="E28" s="122">
        <f t="shared" si="6"/>
        <v>-22816.640000000003</v>
      </c>
      <c r="F28" s="122">
        <f t="shared" si="6"/>
        <v>3996887.3728</v>
      </c>
      <c r="G28" s="122">
        <f t="shared" si="6"/>
        <v>3314958.8541439977</v>
      </c>
      <c r="H28" s="22"/>
    </row>
    <row r="29" spans="1:8" x14ac:dyDescent="0.25">
      <c r="A29" s="22" t="s">
        <v>438</v>
      </c>
      <c r="B29" s="122">
        <v>0</v>
      </c>
      <c r="C29" s="127">
        <f>-B28</f>
        <v>-112000.00000000001</v>
      </c>
      <c r="D29" s="127">
        <f t="shared" ref="D29:H29" si="7">-C28</f>
        <v>14000.000000000002</v>
      </c>
      <c r="E29" s="127">
        <f t="shared" si="7"/>
        <v>246512.00000000108</v>
      </c>
      <c r="F29" s="127">
        <f t="shared" si="7"/>
        <v>22816.640000000003</v>
      </c>
      <c r="G29" s="127">
        <f t="shared" si="7"/>
        <v>-3996887.3728</v>
      </c>
      <c r="H29" s="127">
        <f t="shared" si="7"/>
        <v>-3314958.8541439977</v>
      </c>
    </row>
    <row r="30" spans="1:8" x14ac:dyDescent="0.25">
      <c r="A30" s="22"/>
      <c r="B30" s="22"/>
      <c r="C30" s="22"/>
      <c r="D30" s="22"/>
      <c r="E30" s="22"/>
      <c r="F30" s="22"/>
      <c r="G30" s="22"/>
      <c r="H30" s="22"/>
    </row>
    <row r="32" spans="1:8" x14ac:dyDescent="0.25">
      <c r="A32" s="121" t="s">
        <v>439</v>
      </c>
      <c r="B32" s="22"/>
      <c r="C32" s="22"/>
      <c r="D32" s="22"/>
    </row>
    <row r="33" spans="1:6" x14ac:dyDescent="0.25">
      <c r="A33" s="22"/>
      <c r="B33" s="22"/>
      <c r="C33" s="22"/>
      <c r="D33" s="22"/>
    </row>
    <row r="34" spans="1:6" x14ac:dyDescent="0.25">
      <c r="A34" s="22" t="s">
        <v>42</v>
      </c>
      <c r="B34" s="125" t="s">
        <v>144</v>
      </c>
      <c r="C34" s="22" t="s">
        <v>440</v>
      </c>
      <c r="D34" s="22"/>
    </row>
    <row r="35" spans="1:6" x14ac:dyDescent="0.25">
      <c r="A35" s="22">
        <v>0</v>
      </c>
      <c r="B35" s="131">
        <f>+B17</f>
        <v>-41600000</v>
      </c>
      <c r="C35" s="131">
        <f>+B35</f>
        <v>-41600000</v>
      </c>
      <c r="D35" s="22"/>
    </row>
    <row r="36" spans="1:6" x14ac:dyDescent="0.25">
      <c r="A36" s="22">
        <v>1</v>
      </c>
      <c r="B36" s="131">
        <f>+C17</f>
        <v>13838000</v>
      </c>
      <c r="C36" s="131">
        <f>+C35+B36</f>
        <v>-27762000</v>
      </c>
      <c r="D36" s="22"/>
    </row>
    <row r="37" spans="1:6" x14ac:dyDescent="0.25">
      <c r="A37" s="22">
        <v>2</v>
      </c>
      <c r="B37" s="131">
        <f>+D17</f>
        <v>13133599.999999996</v>
      </c>
      <c r="C37" s="131">
        <f t="shared" ref="C37:C41" si="8">+C36+B37</f>
        <v>-14628400.000000004</v>
      </c>
      <c r="D37" s="22"/>
    </row>
    <row r="38" spans="1:6" x14ac:dyDescent="0.25">
      <c r="A38" s="22">
        <v>3</v>
      </c>
      <c r="B38" s="131">
        <f>+E17</f>
        <v>14165024.000000002</v>
      </c>
      <c r="C38" s="131">
        <f t="shared" si="8"/>
        <v>-463376.00000000186</v>
      </c>
      <c r="D38" s="22"/>
    </row>
    <row r="39" spans="1:6" x14ac:dyDescent="0.25">
      <c r="A39" s="22">
        <v>4</v>
      </c>
      <c r="B39" s="131">
        <f>+F17</f>
        <v>14297414.399999999</v>
      </c>
      <c r="C39" s="131">
        <f t="shared" si="8"/>
        <v>13834038.399999997</v>
      </c>
      <c r="D39" s="22"/>
    </row>
    <row r="40" spans="1:6" x14ac:dyDescent="0.25">
      <c r="A40" s="22">
        <v>5</v>
      </c>
      <c r="B40" s="131">
        <f>+G17</f>
        <v>7842251.3919999897</v>
      </c>
      <c r="C40" s="131">
        <f t="shared" si="8"/>
        <v>21676289.791999988</v>
      </c>
      <c r="D40" s="22"/>
    </row>
    <row r="41" spans="1:6" x14ac:dyDescent="0.25">
      <c r="A41" s="22">
        <v>6</v>
      </c>
      <c r="B41" s="131">
        <f>+H17</f>
        <v>-3314958.8541439977</v>
      </c>
      <c r="C41" s="131">
        <f t="shared" si="8"/>
        <v>18361330.937855989</v>
      </c>
      <c r="D41" s="22"/>
    </row>
    <row r="42" spans="1:6" x14ac:dyDescent="0.25">
      <c r="A42" s="22"/>
      <c r="B42" s="22"/>
      <c r="C42" s="22"/>
      <c r="D42" s="22"/>
      <c r="E42" s="120">
        <f>-C38/B39*12</f>
        <v>0.38891731360881754</v>
      </c>
    </row>
    <row r="43" spans="1:6" x14ac:dyDescent="0.25">
      <c r="A43" s="22"/>
      <c r="B43" s="22"/>
      <c r="C43" s="22"/>
      <c r="D43" s="22"/>
    </row>
    <row r="44" spans="1:6" x14ac:dyDescent="0.25">
      <c r="A44" s="22" t="s">
        <v>65</v>
      </c>
      <c r="B44" s="22" t="s">
        <v>441</v>
      </c>
      <c r="C44" s="22"/>
    </row>
    <row r="45" spans="1:6" ht="15.75" thickBot="1" x14ac:dyDescent="0.3">
      <c r="A45" s="22"/>
      <c r="B45" s="135" t="s">
        <v>442</v>
      </c>
      <c r="C45" s="22"/>
    </row>
    <row r="46" spans="1:6" ht="15.75" thickTop="1" x14ac:dyDescent="0.25">
      <c r="B46" s="22"/>
      <c r="C46" s="22"/>
    </row>
    <row r="47" spans="1:6" x14ac:dyDescent="0.25">
      <c r="A47" s="121" t="s">
        <v>443</v>
      </c>
      <c r="B47" s="22"/>
      <c r="C47" s="22"/>
    </row>
    <row r="48" spans="1:6" x14ac:dyDescent="0.25">
      <c r="A48" s="22"/>
      <c r="B48" s="22"/>
      <c r="C48" s="22"/>
      <c r="F48" s="22"/>
    </row>
    <row r="49" spans="1:6" x14ac:dyDescent="0.25">
      <c r="A49" s="22" t="s">
        <v>444</v>
      </c>
      <c r="B49" s="136" t="s">
        <v>284</v>
      </c>
      <c r="C49" s="137" t="s">
        <v>445</v>
      </c>
      <c r="E49" s="22" t="s">
        <v>446</v>
      </c>
      <c r="F49" s="127">
        <f>SUM(C15:G15)</f>
        <v>67101848.524799988</v>
      </c>
    </row>
    <row r="50" spans="1:6" x14ac:dyDescent="0.25">
      <c r="A50" s="22"/>
      <c r="B50" s="22"/>
      <c r="C50" s="138" t="s">
        <v>447</v>
      </c>
      <c r="E50" s="22" t="s">
        <v>448</v>
      </c>
      <c r="F50" s="127">
        <f>+B7</f>
        <v>-42000000</v>
      </c>
    </row>
    <row r="51" spans="1:6" x14ac:dyDescent="0.25">
      <c r="A51" s="22"/>
      <c r="B51" s="22"/>
      <c r="C51" s="22"/>
      <c r="E51" s="22" t="s">
        <v>449</v>
      </c>
      <c r="F51" s="127">
        <f>SUM(F49:F50)</f>
        <v>25101848.524799988</v>
      </c>
    </row>
    <row r="52" spans="1:6" x14ac:dyDescent="0.25">
      <c r="A52" s="22"/>
      <c r="B52" s="22"/>
      <c r="C52" s="128">
        <f>F51/5</f>
        <v>5020369.7049599979</v>
      </c>
      <c r="D52" s="119" t="s">
        <v>289</v>
      </c>
      <c r="E52" s="22" t="s">
        <v>450</v>
      </c>
      <c r="F52" s="122">
        <f>+F51/5</f>
        <v>5020369.7049599979</v>
      </c>
    </row>
    <row r="53" spans="1:6" x14ac:dyDescent="0.25">
      <c r="A53" s="22"/>
      <c r="B53" s="22"/>
      <c r="C53" s="122">
        <f>-B7/2</f>
        <v>21000000</v>
      </c>
      <c r="F53" s="22"/>
    </row>
    <row r="54" spans="1:6" x14ac:dyDescent="0.25">
      <c r="A54" s="22"/>
      <c r="B54" s="22"/>
      <c r="C54" s="22"/>
      <c r="F54" s="22"/>
    </row>
    <row r="55" spans="1:6" ht="15.75" thickBot="1" x14ac:dyDescent="0.3">
      <c r="A55" s="22"/>
      <c r="B55" s="22"/>
      <c r="C55" s="139">
        <f>C52/C53</f>
        <v>0.23906522404571418</v>
      </c>
    </row>
    <row r="56" spans="1:6" ht="15.75" thickTop="1" x14ac:dyDescent="0.25">
      <c r="A56" s="22"/>
      <c r="B56" s="22"/>
      <c r="C56" s="22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>
      <selection activeCell="I21" sqref="I21"/>
    </sheetView>
  </sheetViews>
  <sheetFormatPr defaultRowHeight="15" x14ac:dyDescent="0.25"/>
  <cols>
    <col min="1" max="1" width="31" customWidth="1"/>
    <col min="2" max="2" width="13.42578125" bestFit="1" customWidth="1"/>
    <col min="3" max="7" width="12.28515625" bestFit="1" customWidth="1"/>
    <col min="10" max="10" width="13.5703125" customWidth="1"/>
    <col min="11" max="11" width="11.28515625" bestFit="1" customWidth="1"/>
  </cols>
  <sheetData>
    <row r="2" spans="1:8" x14ac:dyDescent="0.25">
      <c r="A2" s="8" t="s">
        <v>451</v>
      </c>
    </row>
    <row r="3" spans="1:8" x14ac:dyDescent="0.25">
      <c r="A3" t="s">
        <v>295</v>
      </c>
    </row>
    <row r="4" spans="1:8" x14ac:dyDescent="0.25">
      <c r="A4" s="18" t="s">
        <v>452</v>
      </c>
      <c r="B4" s="146" t="s">
        <v>116</v>
      </c>
      <c r="C4" s="146" t="s">
        <v>167</v>
      </c>
      <c r="D4" s="146" t="s">
        <v>168</v>
      </c>
      <c r="E4" s="146" t="s">
        <v>117</v>
      </c>
      <c r="F4" s="146" t="s">
        <v>169</v>
      </c>
      <c r="G4" s="146" t="s">
        <v>170</v>
      </c>
    </row>
    <row r="5" spans="1:8" x14ac:dyDescent="0.25">
      <c r="A5" t="s">
        <v>0</v>
      </c>
      <c r="B5" s="9">
        <v>-300000</v>
      </c>
      <c r="C5" s="9">
        <v>-100000</v>
      </c>
      <c r="G5" s="9">
        <v>50000</v>
      </c>
    </row>
    <row r="6" spans="1:8" x14ac:dyDescent="0.25">
      <c r="A6" t="s">
        <v>453</v>
      </c>
      <c r="B6" s="9">
        <v>-1000</v>
      </c>
    </row>
    <row r="7" spans="1:8" x14ac:dyDescent="0.25">
      <c r="A7" t="s">
        <v>454</v>
      </c>
      <c r="B7" s="9">
        <v>0</v>
      </c>
      <c r="C7" s="9">
        <v>-1500</v>
      </c>
      <c r="D7" s="9">
        <v>-1500</v>
      </c>
      <c r="E7" s="9">
        <v>-1500</v>
      </c>
      <c r="F7" s="9">
        <v>-1500</v>
      </c>
      <c r="G7" s="9">
        <v>-1500</v>
      </c>
      <c r="H7" s="1" t="s">
        <v>455</v>
      </c>
    </row>
    <row r="8" spans="1:8" x14ac:dyDescent="0.25">
      <c r="A8" t="s">
        <v>456</v>
      </c>
      <c r="B8" s="10">
        <f>-B27</f>
        <v>-100000</v>
      </c>
      <c r="C8" s="10">
        <f t="shared" ref="C8:F8" si="0">-C27</f>
        <v>-15500</v>
      </c>
      <c r="D8" s="10">
        <f t="shared" si="0"/>
        <v>-16800</v>
      </c>
      <c r="E8" s="10">
        <f t="shared" si="0"/>
        <v>-18191.250000000029</v>
      </c>
      <c r="F8" s="10">
        <f t="shared" si="0"/>
        <v>-19679.624999999971</v>
      </c>
      <c r="G8" s="10">
        <f>-SUM(B8:F8)</f>
        <v>170170.875</v>
      </c>
    </row>
    <row r="9" spans="1:8" x14ac:dyDescent="0.25">
      <c r="A9" t="s">
        <v>457</v>
      </c>
      <c r="C9" s="10">
        <f>+B21</f>
        <v>556500</v>
      </c>
      <c r="D9" s="10">
        <f t="shared" ref="D9:G9" si="1">+C21</f>
        <v>639450</v>
      </c>
      <c r="E9" s="10">
        <f t="shared" si="1"/>
        <v>685314.00000000012</v>
      </c>
      <c r="F9" s="10">
        <f t="shared" si="1"/>
        <v>638140.78125</v>
      </c>
      <c r="G9" s="10">
        <f t="shared" si="1"/>
        <v>638140.78125000012</v>
      </c>
    </row>
    <row r="10" spans="1:8" x14ac:dyDescent="0.25">
      <c r="A10" t="s">
        <v>458</v>
      </c>
      <c r="C10" s="10">
        <f>-B32</f>
        <v>-316800</v>
      </c>
      <c r="D10" s="10">
        <f t="shared" ref="D10:G10" si="2">-C32</f>
        <v>-375100.00000000006</v>
      </c>
      <c r="E10" s="10">
        <f t="shared" si="2"/>
        <v>-421927.00000000012</v>
      </c>
      <c r="F10" s="10">
        <f t="shared" si="2"/>
        <v>-443622.3000000001</v>
      </c>
      <c r="G10" s="10">
        <f t="shared" si="2"/>
        <v>-458995.35000000015</v>
      </c>
    </row>
    <row r="11" spans="1:8" x14ac:dyDescent="0.25">
      <c r="A11" t="s">
        <v>459</v>
      </c>
      <c r="C11" s="10">
        <f>-B40</f>
        <v>-49000</v>
      </c>
      <c r="D11" s="10">
        <f t="shared" ref="D11:G11" si="3">-C40</f>
        <v>-49000</v>
      </c>
      <c r="E11" s="10">
        <f t="shared" si="3"/>
        <v>-51450</v>
      </c>
      <c r="F11" s="10">
        <f t="shared" si="3"/>
        <v>-46200</v>
      </c>
      <c r="G11" s="10">
        <f t="shared" si="3"/>
        <v>-42997.5</v>
      </c>
    </row>
    <row r="12" spans="1:8" x14ac:dyDescent="0.25">
      <c r="A12" t="s">
        <v>460</v>
      </c>
      <c r="C12" s="10">
        <f>-B50</f>
        <v>-4396.5999999999995</v>
      </c>
      <c r="D12" s="10">
        <f t="shared" ref="D12:G12" si="4">-C50</f>
        <v>-8489.3999999999905</v>
      </c>
      <c r="E12" s="10">
        <f t="shared" si="4"/>
        <v>-9312.4399999999987</v>
      </c>
      <c r="F12" s="10">
        <f t="shared" si="4"/>
        <v>-17678.217749999985</v>
      </c>
      <c r="G12" s="10">
        <f t="shared" si="4"/>
        <v>-22217.751749999996</v>
      </c>
    </row>
    <row r="13" spans="1:8" x14ac:dyDescent="0.25">
      <c r="A13" t="s">
        <v>389</v>
      </c>
      <c r="B13" s="10">
        <f>SUM(B5:B12)</f>
        <v>-401000</v>
      </c>
      <c r="C13" s="10">
        <f t="shared" ref="C13:F13" si="5">SUM(C5:C12)</f>
        <v>69303.399999999994</v>
      </c>
      <c r="D13" s="10">
        <f t="shared" si="5"/>
        <v>188560.59999999995</v>
      </c>
      <c r="E13" s="10">
        <f t="shared" si="5"/>
        <v>182933.31</v>
      </c>
      <c r="F13" s="10">
        <f t="shared" si="5"/>
        <v>109460.63849999991</v>
      </c>
      <c r="G13" s="10">
        <f>SUM(G5:G12)</f>
        <v>332601.05449999997</v>
      </c>
    </row>
    <row r="14" spans="1:8" x14ac:dyDescent="0.25">
      <c r="A14" t="s">
        <v>403</v>
      </c>
      <c r="B14" s="34">
        <v>1</v>
      </c>
      <c r="C14" s="34">
        <f>+B14/1.2</f>
        <v>0.83333333333333337</v>
      </c>
      <c r="D14" s="34">
        <f>+C14/1.2</f>
        <v>0.69444444444444453</v>
      </c>
      <c r="E14" s="34">
        <f t="shared" ref="E14:G14" si="6">+D14/1.2</f>
        <v>0.57870370370370383</v>
      </c>
      <c r="F14" s="34">
        <f t="shared" si="6"/>
        <v>0.48225308641975323</v>
      </c>
      <c r="G14" s="34">
        <f t="shared" si="6"/>
        <v>0.40187757201646102</v>
      </c>
    </row>
    <row r="15" spans="1:8" x14ac:dyDescent="0.25">
      <c r="A15" t="s">
        <v>146</v>
      </c>
      <c r="B15" s="60">
        <f>+B13*B14</f>
        <v>-401000</v>
      </c>
      <c r="C15" s="60">
        <f t="shared" ref="C15:G15" si="7">+C13*C14</f>
        <v>57752.833333333328</v>
      </c>
      <c r="D15" s="60">
        <f t="shared" si="7"/>
        <v>130944.86111111109</v>
      </c>
      <c r="E15" s="60">
        <f t="shared" si="7"/>
        <v>105864.1840277778</v>
      </c>
      <c r="F15" s="60">
        <f t="shared" si="7"/>
        <v>52787.730758101825</v>
      </c>
      <c r="G15" s="60">
        <f t="shared" si="7"/>
        <v>133664.90423257463</v>
      </c>
    </row>
    <row r="16" spans="1:8" ht="15.75" thickBot="1" x14ac:dyDescent="0.3">
      <c r="A16" t="s">
        <v>148</v>
      </c>
      <c r="B16" s="150">
        <f>SUM(B15:G15)</f>
        <v>80014.513462898656</v>
      </c>
    </row>
    <row r="17" spans="1:6" ht="15.75" thickTop="1" x14ac:dyDescent="0.25"/>
    <row r="18" spans="1:6" x14ac:dyDescent="0.25">
      <c r="A18" t="s">
        <v>461</v>
      </c>
      <c r="B18" s="7" t="s">
        <v>167</v>
      </c>
      <c r="C18" s="7" t="s">
        <v>168</v>
      </c>
      <c r="D18" s="7" t="s">
        <v>117</v>
      </c>
      <c r="E18" s="7" t="s">
        <v>169</v>
      </c>
      <c r="F18" s="7" t="s">
        <v>170</v>
      </c>
    </row>
    <row r="19" spans="1:6" x14ac:dyDescent="0.25">
      <c r="A19" t="s">
        <v>462</v>
      </c>
      <c r="B19" s="9">
        <v>530000</v>
      </c>
      <c r="C19" s="9">
        <v>580000</v>
      </c>
      <c r="D19" s="9">
        <v>592000</v>
      </c>
      <c r="E19" s="9">
        <v>525000</v>
      </c>
      <c r="F19" s="9">
        <v>500000</v>
      </c>
    </row>
    <row r="20" spans="1:6" x14ac:dyDescent="0.25">
      <c r="A20" t="s">
        <v>463</v>
      </c>
      <c r="B20" s="11">
        <v>1.05</v>
      </c>
      <c r="C20" s="11" t="s">
        <v>196</v>
      </c>
      <c r="D20" s="11" t="s">
        <v>197</v>
      </c>
      <c r="E20" s="11" t="s">
        <v>464</v>
      </c>
      <c r="F20" s="11" t="s">
        <v>465</v>
      </c>
    </row>
    <row r="21" spans="1:6" x14ac:dyDescent="0.25">
      <c r="A21" t="s">
        <v>466</v>
      </c>
      <c r="B21" s="9">
        <f>B19*1.05</f>
        <v>556500</v>
      </c>
      <c r="C21" s="9">
        <f>+C19*1.05^2</f>
        <v>639450</v>
      </c>
      <c r="D21" s="9">
        <f>+D19*1.05^3</f>
        <v>685314.00000000012</v>
      </c>
      <c r="E21" s="9">
        <f>+E19*1.05^4</f>
        <v>638140.78125</v>
      </c>
      <c r="F21" s="9">
        <f>+F19*1.05^5</f>
        <v>638140.78125000012</v>
      </c>
    </row>
    <row r="23" spans="1:6" x14ac:dyDescent="0.25">
      <c r="A23" t="s">
        <v>467</v>
      </c>
      <c r="B23" s="140" t="s">
        <v>116</v>
      </c>
      <c r="C23" s="140" t="s">
        <v>167</v>
      </c>
      <c r="D23" s="140" t="s">
        <v>168</v>
      </c>
      <c r="E23" s="140" t="s">
        <v>117</v>
      </c>
      <c r="F23" s="140" t="s">
        <v>169</v>
      </c>
    </row>
    <row r="24" spans="1:6" x14ac:dyDescent="0.25">
      <c r="A24" t="s">
        <v>468</v>
      </c>
      <c r="B24" s="9">
        <v>100000</v>
      </c>
      <c r="C24" s="9">
        <v>110000</v>
      </c>
      <c r="D24" s="9">
        <v>120000</v>
      </c>
      <c r="E24" s="9">
        <v>130000</v>
      </c>
      <c r="F24" s="9">
        <v>140000</v>
      </c>
    </row>
    <row r="25" spans="1:6" x14ac:dyDescent="0.25">
      <c r="A25" t="s">
        <v>463</v>
      </c>
      <c r="B25" s="147">
        <v>1</v>
      </c>
      <c r="C25" s="148" t="s">
        <v>195</v>
      </c>
      <c r="D25" s="148" t="s">
        <v>196</v>
      </c>
      <c r="E25" s="148" t="s">
        <v>197</v>
      </c>
      <c r="F25" s="148" t="s">
        <v>464</v>
      </c>
    </row>
    <row r="26" spans="1:6" x14ac:dyDescent="0.25">
      <c r="A26" t="s">
        <v>469</v>
      </c>
      <c r="B26" s="9">
        <f>+B24*B25</f>
        <v>100000</v>
      </c>
      <c r="C26" s="9">
        <f>+C24*1.05</f>
        <v>115500</v>
      </c>
      <c r="D26" s="9">
        <f>+D24*1.05^2</f>
        <v>132300</v>
      </c>
      <c r="E26" s="9">
        <f>+E24*1.05^3</f>
        <v>150491.25000000003</v>
      </c>
      <c r="F26" s="9">
        <f>+F24*1.05^4</f>
        <v>170170.875</v>
      </c>
    </row>
    <row r="27" spans="1:6" x14ac:dyDescent="0.25">
      <c r="A27" t="s">
        <v>470</v>
      </c>
      <c r="B27" s="10">
        <f>+B26</f>
        <v>100000</v>
      </c>
      <c r="C27" s="10">
        <f>+C26-B26</f>
        <v>15500</v>
      </c>
      <c r="D27" s="10">
        <f>+D26-C26</f>
        <v>16800</v>
      </c>
      <c r="E27" s="10">
        <f>+E26-D26</f>
        <v>18191.250000000029</v>
      </c>
      <c r="F27" s="10">
        <f>+F26-E26</f>
        <v>19679.624999999971</v>
      </c>
    </row>
    <row r="29" spans="1:6" x14ac:dyDescent="0.25">
      <c r="A29" t="s">
        <v>471</v>
      </c>
      <c r="B29" s="7" t="s">
        <v>167</v>
      </c>
      <c r="C29" s="7" t="s">
        <v>168</v>
      </c>
      <c r="D29" s="7" t="s">
        <v>117</v>
      </c>
      <c r="E29" s="7" t="s">
        <v>169</v>
      </c>
      <c r="F29" s="7" t="s">
        <v>170</v>
      </c>
    </row>
    <row r="30" spans="1:6" x14ac:dyDescent="0.25">
      <c r="A30" t="s">
        <v>472</v>
      </c>
      <c r="B30" s="9">
        <v>288000</v>
      </c>
      <c r="C30" s="9">
        <v>310000</v>
      </c>
      <c r="D30" s="9">
        <v>317000</v>
      </c>
      <c r="E30" s="9">
        <v>303000</v>
      </c>
      <c r="F30" s="9">
        <v>285000</v>
      </c>
    </row>
    <row r="31" spans="1:6" x14ac:dyDescent="0.25">
      <c r="A31" t="s">
        <v>463</v>
      </c>
      <c r="B31" s="11">
        <v>1.1000000000000001</v>
      </c>
      <c r="C31" s="11" t="s">
        <v>473</v>
      </c>
      <c r="D31" s="11" t="s">
        <v>474</v>
      </c>
      <c r="E31" s="11" t="s">
        <v>475</v>
      </c>
      <c r="F31" s="11" t="s">
        <v>476</v>
      </c>
    </row>
    <row r="32" spans="1:6" x14ac:dyDescent="0.25">
      <c r="A32" t="s">
        <v>477</v>
      </c>
      <c r="B32" s="9">
        <f>+B30*1.1</f>
        <v>316800</v>
      </c>
      <c r="C32" s="9">
        <f>+C30*1.1^2</f>
        <v>375100.00000000006</v>
      </c>
      <c r="D32" s="9">
        <f>+D30*1.1^3</f>
        <v>421927.00000000012</v>
      </c>
      <c r="E32" s="9">
        <f>+E30*1.1^4</f>
        <v>443622.3000000001</v>
      </c>
      <c r="F32" s="9">
        <f>+F30*1.1^5</f>
        <v>458995.35000000015</v>
      </c>
    </row>
    <row r="34" spans="1:11" x14ac:dyDescent="0.25">
      <c r="A34" t="s">
        <v>478</v>
      </c>
      <c r="B34" s="7" t="s">
        <v>167</v>
      </c>
      <c r="C34" s="7" t="s">
        <v>168</v>
      </c>
      <c r="D34" s="7" t="s">
        <v>117</v>
      </c>
      <c r="E34" s="7" t="s">
        <v>169</v>
      </c>
      <c r="F34" s="7" t="s">
        <v>170</v>
      </c>
    </row>
    <row r="35" spans="1:11" x14ac:dyDescent="0.25">
      <c r="A35" t="s">
        <v>479</v>
      </c>
      <c r="B35" s="9">
        <v>120000</v>
      </c>
      <c r="C35" s="9">
        <v>120000</v>
      </c>
      <c r="D35" s="9">
        <v>120000</v>
      </c>
      <c r="E35" s="9">
        <v>115000</v>
      </c>
      <c r="F35" s="9">
        <v>110000</v>
      </c>
    </row>
    <row r="36" spans="1:11" x14ac:dyDescent="0.25">
      <c r="A36" t="s">
        <v>480</v>
      </c>
      <c r="B36" s="9">
        <v>-1000</v>
      </c>
      <c r="C36" s="9">
        <v>-1000</v>
      </c>
      <c r="D36" s="9">
        <v>-1000</v>
      </c>
      <c r="E36" s="9">
        <v>-1000</v>
      </c>
      <c r="F36" s="9">
        <v>-1000</v>
      </c>
    </row>
    <row r="37" spans="1:11" x14ac:dyDescent="0.25">
      <c r="A37" t="s">
        <v>481</v>
      </c>
      <c r="B37" s="9">
        <v>-70000</v>
      </c>
      <c r="C37" s="9">
        <v>-70000</v>
      </c>
      <c r="D37" s="9">
        <v>-70000</v>
      </c>
      <c r="E37" s="9">
        <v>-70000</v>
      </c>
      <c r="F37" s="9">
        <v>-70000</v>
      </c>
      <c r="G37" t="s">
        <v>482</v>
      </c>
      <c r="H37">
        <f>400-50</f>
        <v>350</v>
      </c>
      <c r="I37">
        <f>+H37/5</f>
        <v>70</v>
      </c>
    </row>
    <row r="38" spans="1:11" x14ac:dyDescent="0.25">
      <c r="B38" s="10">
        <f>SUM(B35:B37)</f>
        <v>49000</v>
      </c>
      <c r="C38" s="10">
        <f t="shared" ref="C38:F38" si="8">SUM(C35:C37)</f>
        <v>49000</v>
      </c>
      <c r="D38" s="10">
        <f t="shared" si="8"/>
        <v>49000</v>
      </c>
      <c r="E38" s="10">
        <f t="shared" si="8"/>
        <v>44000</v>
      </c>
      <c r="F38" s="10">
        <f t="shared" si="8"/>
        <v>39000</v>
      </c>
    </row>
    <row r="39" spans="1:11" x14ac:dyDescent="0.25">
      <c r="A39" t="s">
        <v>463</v>
      </c>
      <c r="B39" s="149">
        <v>1</v>
      </c>
      <c r="C39" s="149">
        <v>1</v>
      </c>
      <c r="D39" s="11" t="s">
        <v>195</v>
      </c>
      <c r="E39" s="11" t="s">
        <v>195</v>
      </c>
      <c r="F39" s="11" t="s">
        <v>196</v>
      </c>
    </row>
    <row r="40" spans="1:11" x14ac:dyDescent="0.25">
      <c r="A40" t="s">
        <v>483</v>
      </c>
      <c r="B40" s="9">
        <f>+B38*B39</f>
        <v>49000</v>
      </c>
      <c r="C40" s="9">
        <f>+C38*C39</f>
        <v>49000</v>
      </c>
      <c r="D40" s="9">
        <f>+D38*1.05</f>
        <v>51450</v>
      </c>
      <c r="E40" s="9">
        <f>+E38*1.05</f>
        <v>46200</v>
      </c>
      <c r="F40" s="9">
        <f>+F38*1.05^2</f>
        <v>42997.5</v>
      </c>
    </row>
    <row r="42" spans="1:11" x14ac:dyDescent="0.25">
      <c r="A42" t="s">
        <v>484</v>
      </c>
      <c r="B42" s="7" t="s">
        <v>167</v>
      </c>
      <c r="C42" s="7" t="s">
        <v>168</v>
      </c>
      <c r="D42" s="7" t="s">
        <v>117</v>
      </c>
      <c r="E42" s="7" t="s">
        <v>169</v>
      </c>
      <c r="F42" s="7" t="s">
        <v>170</v>
      </c>
    </row>
    <row r="43" spans="1:11" x14ac:dyDescent="0.25">
      <c r="A43" t="s">
        <v>485</v>
      </c>
      <c r="B43" s="10">
        <f>SUM(C9:C11)</f>
        <v>190700</v>
      </c>
      <c r="C43" s="10">
        <f>SUM(D9:D11)</f>
        <v>215349.99999999994</v>
      </c>
      <c r="D43" s="10">
        <f>SUM(E9:E11)</f>
        <v>211937</v>
      </c>
      <c r="E43" s="10">
        <f>SUM(F9:F11)</f>
        <v>148318.4812499999</v>
      </c>
      <c r="F43" s="10">
        <f>SUM(G9:G11)</f>
        <v>136147.93124999997</v>
      </c>
    </row>
    <row r="44" spans="1:11" x14ac:dyDescent="0.25">
      <c r="A44" t="s">
        <v>486</v>
      </c>
      <c r="B44" s="9">
        <v>-1000</v>
      </c>
      <c r="C44" s="9">
        <v>-1000</v>
      </c>
      <c r="D44" s="9">
        <v>-1000</v>
      </c>
      <c r="E44" s="9">
        <v>-1000</v>
      </c>
      <c r="F44" s="9">
        <v>-1000</v>
      </c>
    </row>
    <row r="45" spans="1:11" x14ac:dyDescent="0.25">
      <c r="A45" t="s">
        <v>487</v>
      </c>
      <c r="B45" s="9">
        <f>-400000/3</f>
        <v>-133333.33333333334</v>
      </c>
      <c r="C45" s="9">
        <f t="shared" ref="C45:D45" si="9">-400000/3</f>
        <v>-133333.33333333334</v>
      </c>
      <c r="D45" s="9">
        <f t="shared" si="9"/>
        <v>-133333.33333333334</v>
      </c>
      <c r="E45" s="9">
        <v>0</v>
      </c>
      <c r="F45" s="9">
        <v>0</v>
      </c>
      <c r="J45" t="s">
        <v>488</v>
      </c>
      <c r="K45" s="9">
        <v>30000</v>
      </c>
    </row>
    <row r="46" spans="1:11" x14ac:dyDescent="0.25">
      <c r="A46" t="s">
        <v>489</v>
      </c>
      <c r="B46" s="9">
        <v>0</v>
      </c>
      <c r="C46" s="9">
        <v>0</v>
      </c>
      <c r="D46" s="9">
        <v>0</v>
      </c>
      <c r="E46" s="9">
        <v>0</v>
      </c>
      <c r="F46" s="10">
        <f>+G5</f>
        <v>50000</v>
      </c>
      <c r="J46" t="s">
        <v>490</v>
      </c>
      <c r="K46" s="10">
        <f>+B48</f>
        <v>-19728.333333333328</v>
      </c>
    </row>
    <row r="47" spans="1:11" x14ac:dyDescent="0.25">
      <c r="A47" t="s">
        <v>491</v>
      </c>
      <c r="B47" s="10">
        <f>SUM(B43:B46)</f>
        <v>56366.666666666657</v>
      </c>
      <c r="C47" s="10">
        <f t="shared" ref="C47:F47" si="10">SUM(C43:C46)</f>
        <v>81016.666666666599</v>
      </c>
      <c r="D47" s="10">
        <f t="shared" si="10"/>
        <v>77603.666666666657</v>
      </c>
      <c r="E47" s="10">
        <f t="shared" si="10"/>
        <v>147318.4812499999</v>
      </c>
      <c r="F47" s="10">
        <f t="shared" si="10"/>
        <v>185147.93124999997</v>
      </c>
      <c r="K47" s="10">
        <f>SUM(K45:K46)</f>
        <v>10271.666666666672</v>
      </c>
    </row>
    <row r="48" spans="1:11" x14ac:dyDescent="0.25">
      <c r="A48" t="s">
        <v>492</v>
      </c>
      <c r="B48" s="9">
        <f>-B47*0.35</f>
        <v>-19728.333333333328</v>
      </c>
      <c r="C48" s="10">
        <f>-K47</f>
        <v>-10271.666666666672</v>
      </c>
      <c r="D48" s="9">
        <v>0</v>
      </c>
      <c r="E48" s="9">
        <v>0</v>
      </c>
      <c r="F48" s="9">
        <v>0</v>
      </c>
    </row>
    <row r="49" spans="1:6" x14ac:dyDescent="0.25">
      <c r="A49" t="s">
        <v>261</v>
      </c>
      <c r="B49" s="10">
        <f>SUM(B47:B48)</f>
        <v>36638.333333333328</v>
      </c>
      <c r="C49" s="10">
        <f t="shared" ref="C49:F49" si="11">SUM(C47:C48)</f>
        <v>70744.999999999927</v>
      </c>
      <c r="D49" s="10">
        <f t="shared" si="11"/>
        <v>77603.666666666657</v>
      </c>
      <c r="E49" s="10">
        <f t="shared" si="11"/>
        <v>147318.4812499999</v>
      </c>
      <c r="F49" s="10">
        <f t="shared" si="11"/>
        <v>185147.93124999997</v>
      </c>
    </row>
    <row r="50" spans="1:6" x14ac:dyDescent="0.25">
      <c r="A50" t="s">
        <v>493</v>
      </c>
      <c r="B50" s="9">
        <f>+B49*0.12</f>
        <v>4396.5999999999995</v>
      </c>
      <c r="C50" s="9">
        <f t="shared" ref="C50:F50" si="12">+C49*0.12</f>
        <v>8489.3999999999905</v>
      </c>
      <c r="D50" s="9">
        <f t="shared" si="12"/>
        <v>9312.4399999999987</v>
      </c>
      <c r="E50" s="9">
        <f t="shared" si="12"/>
        <v>17678.217749999985</v>
      </c>
      <c r="F50" s="9">
        <f t="shared" si="12"/>
        <v>22217.751749999996</v>
      </c>
    </row>
  </sheetData>
  <phoneticPr fontId="14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workbookViewId="0">
      <selection activeCell="D22" sqref="D22"/>
    </sheetView>
  </sheetViews>
  <sheetFormatPr defaultRowHeight="15" x14ac:dyDescent="0.25"/>
  <cols>
    <col min="2" max="2" width="25.85546875" customWidth="1"/>
    <col min="3" max="3" width="20.42578125" bestFit="1" customWidth="1"/>
    <col min="4" max="4" width="11.28515625" bestFit="1" customWidth="1"/>
    <col min="5" max="5" width="12.7109375" bestFit="1" customWidth="1"/>
    <col min="6" max="6" width="12.28515625" bestFit="1" customWidth="1"/>
    <col min="7" max="7" width="15.140625" customWidth="1"/>
    <col min="8" max="8" width="12.28515625" bestFit="1" customWidth="1"/>
  </cols>
  <sheetData>
    <row r="2" spans="1:7" x14ac:dyDescent="0.25">
      <c r="A2" s="8" t="s">
        <v>494</v>
      </c>
    </row>
    <row r="3" spans="1:7" x14ac:dyDescent="0.25">
      <c r="A3" t="s">
        <v>40</v>
      </c>
    </row>
    <row r="4" spans="1:7" x14ac:dyDescent="0.25">
      <c r="A4" s="8" t="s">
        <v>42</v>
      </c>
      <c r="B4" s="8" t="s">
        <v>452</v>
      </c>
      <c r="D4" s="25" t="s">
        <v>376</v>
      </c>
      <c r="E4" s="25" t="s">
        <v>495</v>
      </c>
      <c r="F4" s="25" t="s">
        <v>146</v>
      </c>
    </row>
    <row r="5" spans="1:7" x14ac:dyDescent="0.25">
      <c r="A5" s="14">
        <v>0</v>
      </c>
      <c r="B5" t="s">
        <v>0</v>
      </c>
      <c r="D5" s="9">
        <v>-30000</v>
      </c>
      <c r="E5" s="34">
        <v>1</v>
      </c>
      <c r="F5" s="9">
        <f>D5*E5</f>
        <v>-30000</v>
      </c>
    </row>
    <row r="6" spans="1:7" x14ac:dyDescent="0.25">
      <c r="A6" s="161" t="s">
        <v>496</v>
      </c>
      <c r="B6" t="s">
        <v>394</v>
      </c>
      <c r="C6" t="s">
        <v>497</v>
      </c>
      <c r="D6" s="9">
        <f>-30000*0.6*1500/1000</f>
        <v>-27000</v>
      </c>
      <c r="E6" s="34">
        <f>(1-(1.1)^-6)/0.1</f>
        <v>4.3552606994622272</v>
      </c>
      <c r="F6" s="9">
        <f t="shared" ref="F6:F12" si="0">D6*E6</f>
        <v>-117592.03888548013</v>
      </c>
    </row>
    <row r="7" spans="1:7" x14ac:dyDescent="0.25">
      <c r="A7" s="161" t="s">
        <v>496</v>
      </c>
      <c r="B7" t="s">
        <v>230</v>
      </c>
      <c r="C7" t="s">
        <v>498</v>
      </c>
      <c r="D7" s="9">
        <f>40000*1500/1000</f>
        <v>60000</v>
      </c>
      <c r="E7" s="34">
        <f t="shared" ref="E7:E10" si="1">(1-(1.1)^-6)/0.1</f>
        <v>4.3552606994622272</v>
      </c>
      <c r="F7" s="9">
        <f t="shared" si="0"/>
        <v>261315.64196773362</v>
      </c>
    </row>
    <row r="8" spans="1:7" x14ac:dyDescent="0.25">
      <c r="A8" s="161" t="s">
        <v>496</v>
      </c>
      <c r="B8" t="s">
        <v>499</v>
      </c>
      <c r="C8" t="s">
        <v>500</v>
      </c>
      <c r="D8" s="9">
        <f>-4000*1500/1000</f>
        <v>-6000</v>
      </c>
      <c r="E8" s="34">
        <f t="shared" si="1"/>
        <v>4.3552606994622272</v>
      </c>
      <c r="F8" s="9">
        <f t="shared" si="0"/>
        <v>-26131.564196773365</v>
      </c>
    </row>
    <row r="9" spans="1:7" x14ac:dyDescent="0.25">
      <c r="A9" s="161" t="s">
        <v>496</v>
      </c>
      <c r="B9" t="s">
        <v>501</v>
      </c>
      <c r="C9" t="s">
        <v>502</v>
      </c>
      <c r="D9" s="9">
        <f>-60000*0.2</f>
        <v>-12000</v>
      </c>
      <c r="E9" s="34">
        <f t="shared" si="1"/>
        <v>4.3552606994622272</v>
      </c>
      <c r="F9" s="9">
        <f t="shared" si="0"/>
        <v>-52263.128393546729</v>
      </c>
    </row>
    <row r="10" spans="1:7" x14ac:dyDescent="0.25">
      <c r="A10" s="161" t="s">
        <v>496</v>
      </c>
      <c r="B10" t="s">
        <v>503</v>
      </c>
      <c r="C10" t="s">
        <v>504</v>
      </c>
      <c r="D10" s="9">
        <f>-15000*0.28</f>
        <v>-4200</v>
      </c>
      <c r="E10" s="34">
        <f t="shared" si="1"/>
        <v>4.3552606994622272</v>
      </c>
      <c r="F10" s="9">
        <f t="shared" si="0"/>
        <v>-18292.094937741353</v>
      </c>
    </row>
    <row r="11" spans="1:7" x14ac:dyDescent="0.25">
      <c r="A11" s="161" t="s">
        <v>158</v>
      </c>
      <c r="B11" t="s">
        <v>505</v>
      </c>
      <c r="C11" t="s">
        <v>506</v>
      </c>
      <c r="D11" s="9">
        <f>30000/5*0.28</f>
        <v>1680.0000000000002</v>
      </c>
      <c r="E11" s="34">
        <f>(1-(1.1)^-5)/0.1</f>
        <v>3.7907867694084505</v>
      </c>
      <c r="F11" s="9">
        <f t="shared" si="0"/>
        <v>6368.5217726061974</v>
      </c>
    </row>
    <row r="12" spans="1:7" x14ac:dyDescent="0.25">
      <c r="A12" s="161" t="s">
        <v>158</v>
      </c>
      <c r="B12" t="s">
        <v>507</v>
      </c>
      <c r="C12" t="s">
        <v>508</v>
      </c>
      <c r="D12" s="9">
        <f>2000/5*0.28</f>
        <v>112.00000000000001</v>
      </c>
      <c r="E12" s="34">
        <f>(1-(1.1)^-5)/0.1</f>
        <v>3.7907867694084505</v>
      </c>
      <c r="F12" s="9">
        <f t="shared" si="0"/>
        <v>424.56811817374648</v>
      </c>
    </row>
    <row r="13" spans="1:7" ht="15.75" thickBot="1" x14ac:dyDescent="0.3">
      <c r="E13" s="8" t="s">
        <v>148</v>
      </c>
      <c r="F13" s="162">
        <f>SUM(F5:F12)</f>
        <v>23829.905444971973</v>
      </c>
    </row>
    <row r="14" spans="1:7" ht="15.75" thickTop="1" x14ac:dyDescent="0.25">
      <c r="A14" s="160" t="s">
        <v>55</v>
      </c>
    </row>
    <row r="15" spans="1:7" x14ac:dyDescent="0.25">
      <c r="B15" s="64" t="s">
        <v>52</v>
      </c>
    </row>
    <row r="16" spans="1:7" x14ac:dyDescent="0.25">
      <c r="A16" s="8" t="s">
        <v>42</v>
      </c>
      <c r="B16" s="8" t="s">
        <v>452</v>
      </c>
      <c r="D16" s="25" t="s">
        <v>376</v>
      </c>
      <c r="E16" s="25" t="s">
        <v>495</v>
      </c>
      <c r="F16" s="25" t="s">
        <v>146</v>
      </c>
      <c r="G16" s="37" t="s">
        <v>509</v>
      </c>
    </row>
    <row r="17" spans="1:8" x14ac:dyDescent="0.25">
      <c r="A17" s="14">
        <v>0</v>
      </c>
      <c r="B17" t="s">
        <v>0</v>
      </c>
      <c r="D17" s="9">
        <v>-30000</v>
      </c>
      <c r="E17" s="34">
        <v>1</v>
      </c>
      <c r="F17" s="9">
        <f>D17*E17</f>
        <v>-30000</v>
      </c>
      <c r="G17" s="163" t="s">
        <v>510</v>
      </c>
    </row>
    <row r="18" spans="1:8" x14ac:dyDescent="0.25">
      <c r="A18" s="161" t="s">
        <v>496</v>
      </c>
      <c r="B18" t="s">
        <v>394</v>
      </c>
      <c r="C18" t="s">
        <v>497</v>
      </c>
      <c r="D18" s="9">
        <f>-30000*0.6*1500/1000</f>
        <v>-27000</v>
      </c>
      <c r="E18" s="34">
        <f>(1-(1.1)^-6)/0.1</f>
        <v>4.3552606994622272</v>
      </c>
      <c r="F18" s="9">
        <f t="shared" ref="F18:F24" si="2">D18*E18</f>
        <v>-117592.03888548013</v>
      </c>
      <c r="G18" s="10">
        <f>+F18</f>
        <v>-117592.03888548013</v>
      </c>
    </row>
    <row r="19" spans="1:8" x14ac:dyDescent="0.25">
      <c r="A19" s="161" t="s">
        <v>496</v>
      </c>
      <c r="B19" t="s">
        <v>230</v>
      </c>
      <c r="C19" t="s">
        <v>498</v>
      </c>
      <c r="D19" s="9">
        <f>40000*1500/1000</f>
        <v>60000</v>
      </c>
      <c r="E19" s="34">
        <f t="shared" ref="E19:E22" si="3">(1-(1.1)^-6)/0.1</f>
        <v>4.3552606994622272</v>
      </c>
      <c r="F19" s="9">
        <f t="shared" si="2"/>
        <v>261315.64196773362</v>
      </c>
      <c r="G19" s="10">
        <f t="shared" ref="G19:G24" si="4">+F19</f>
        <v>261315.64196773362</v>
      </c>
    </row>
    <row r="20" spans="1:8" x14ac:dyDescent="0.25">
      <c r="A20" s="161" t="s">
        <v>496</v>
      </c>
      <c r="B20" t="s">
        <v>499</v>
      </c>
      <c r="C20" t="s">
        <v>500</v>
      </c>
      <c r="D20" s="9">
        <f>-4000*1500/1000</f>
        <v>-6000</v>
      </c>
      <c r="E20" s="34">
        <f t="shared" si="3"/>
        <v>4.3552606994622272</v>
      </c>
      <c r="F20" s="9">
        <f t="shared" si="2"/>
        <v>-26131.564196773365</v>
      </c>
      <c r="G20" s="10">
        <f t="shared" si="4"/>
        <v>-26131.564196773365</v>
      </c>
    </row>
    <row r="21" spans="1:8" x14ac:dyDescent="0.25">
      <c r="A21" s="161" t="s">
        <v>496</v>
      </c>
      <c r="B21" t="s">
        <v>501</v>
      </c>
      <c r="C21" t="s">
        <v>502</v>
      </c>
      <c r="D21" s="9">
        <f>-60000*0.2</f>
        <v>-12000</v>
      </c>
      <c r="E21" s="34">
        <f t="shared" si="3"/>
        <v>4.3552606994622272</v>
      </c>
      <c r="F21" s="9">
        <f t="shared" si="2"/>
        <v>-52263.128393546729</v>
      </c>
      <c r="G21" s="10">
        <f t="shared" si="4"/>
        <v>-52263.128393546729</v>
      </c>
    </row>
    <row r="22" spans="1:8" x14ac:dyDescent="0.25">
      <c r="A22" s="161" t="s">
        <v>496</v>
      </c>
      <c r="B22" t="s">
        <v>503</v>
      </c>
      <c r="C22" t="s">
        <v>504</v>
      </c>
      <c r="D22" s="9">
        <f>-15000*0.28</f>
        <v>-4200</v>
      </c>
      <c r="E22" s="34">
        <f t="shared" si="3"/>
        <v>4.3552606994622272</v>
      </c>
      <c r="F22" s="9">
        <f t="shared" si="2"/>
        <v>-18292.094937741353</v>
      </c>
      <c r="G22" s="10">
        <f t="shared" si="4"/>
        <v>-18292.094937741353</v>
      </c>
      <c r="H22" s="163">
        <f>SUM(G18:G22)</f>
        <v>47036.815554192028</v>
      </c>
    </row>
    <row r="23" spans="1:8" x14ac:dyDescent="0.25">
      <c r="A23" s="161" t="s">
        <v>158</v>
      </c>
      <c r="B23" t="s">
        <v>505</v>
      </c>
      <c r="C23" t="s">
        <v>506</v>
      </c>
      <c r="D23" s="9">
        <f>30000/5*0.28</f>
        <v>1680.0000000000002</v>
      </c>
      <c r="E23" s="34">
        <f>(1-(1.1)^-5)/0.1</f>
        <v>3.7907867694084505</v>
      </c>
      <c r="F23" s="9">
        <f t="shared" si="2"/>
        <v>6368.5217726061974</v>
      </c>
      <c r="G23" s="163" t="s">
        <v>511</v>
      </c>
    </row>
    <row r="24" spans="1:8" x14ac:dyDescent="0.25">
      <c r="A24" s="161" t="s">
        <v>158</v>
      </c>
      <c r="B24" t="s">
        <v>507</v>
      </c>
      <c r="C24" t="s">
        <v>508</v>
      </c>
      <c r="D24" s="9">
        <f>2000/5*0.28</f>
        <v>112.00000000000001</v>
      </c>
      <c r="E24" s="34">
        <f>(1-(1.1)^-5)/0.1</f>
        <v>3.7907867694084505</v>
      </c>
      <c r="F24" s="9">
        <f t="shared" si="2"/>
        <v>424.56811817374648</v>
      </c>
      <c r="G24" s="10">
        <f t="shared" si="4"/>
        <v>424.56811817374648</v>
      </c>
      <c r="H24" s="163">
        <f>+G24</f>
        <v>424.56811817374648</v>
      </c>
    </row>
    <row r="25" spans="1:8" ht="15.75" thickBot="1" x14ac:dyDescent="0.3">
      <c r="E25" s="8" t="s">
        <v>148</v>
      </c>
      <c r="F25" s="162">
        <f>SUM(F17:F24)</f>
        <v>23829.905444971973</v>
      </c>
      <c r="G25" s="45">
        <v>0</v>
      </c>
      <c r="H25" s="163">
        <f>SUM(H22:H24)</f>
        <v>47461.383672365773</v>
      </c>
    </row>
    <row r="26" spans="1:8" ht="15.75" thickTop="1" x14ac:dyDescent="0.25">
      <c r="B26" t="s">
        <v>512</v>
      </c>
    </row>
    <row r="28" spans="1:8" x14ac:dyDescent="0.25">
      <c r="B28" t="s">
        <v>513</v>
      </c>
      <c r="F28">
        <f>0.28*3.791/5</f>
        <v>0.21229599999999998</v>
      </c>
    </row>
    <row r="29" spans="1:8" x14ac:dyDescent="0.25">
      <c r="B29" t="s">
        <v>514</v>
      </c>
      <c r="F29">
        <f>1-F28</f>
        <v>0.78770399999999996</v>
      </c>
    </row>
    <row r="30" spans="1:8" x14ac:dyDescent="0.25">
      <c r="B30" t="s">
        <v>515</v>
      </c>
      <c r="F30">
        <f>+H25/F29</f>
        <v>60252.815362580077</v>
      </c>
    </row>
    <row r="31" spans="1:8" x14ac:dyDescent="0.25">
      <c r="B31" t="s">
        <v>516</v>
      </c>
    </row>
    <row r="32" spans="1:8" x14ac:dyDescent="0.25">
      <c r="B32" s="8" t="s">
        <v>517</v>
      </c>
    </row>
    <row r="33" spans="1:8" x14ac:dyDescent="0.25">
      <c r="B33" s="8"/>
    </row>
    <row r="34" spans="1:8" x14ac:dyDescent="0.25">
      <c r="B34" t="s">
        <v>52</v>
      </c>
      <c r="C34" s="9">
        <v>30000</v>
      </c>
    </row>
    <row r="35" spans="1:8" x14ac:dyDescent="0.25">
      <c r="B35" t="s">
        <v>518</v>
      </c>
      <c r="C35" s="9">
        <v>60252.82</v>
      </c>
    </row>
    <row r="36" spans="1:8" x14ac:dyDescent="0.25">
      <c r="B36" t="s">
        <v>519</v>
      </c>
      <c r="C36" s="9">
        <f>+C35-C34</f>
        <v>30252.82</v>
      </c>
    </row>
    <row r="37" spans="1:8" ht="15.75" thickBot="1" x14ac:dyDescent="0.3">
      <c r="B37" s="1" t="s">
        <v>520</v>
      </c>
      <c r="C37" s="166">
        <f>C36/C34</f>
        <v>1.0084273333333333</v>
      </c>
    </row>
    <row r="38" spans="1:8" ht="15.75" thickTop="1" x14ac:dyDescent="0.25">
      <c r="B38" s="8"/>
    </row>
    <row r="39" spans="1:8" x14ac:dyDescent="0.25">
      <c r="B39" s="64" t="s">
        <v>521</v>
      </c>
    </row>
    <row r="40" spans="1:8" x14ac:dyDescent="0.25">
      <c r="A40" s="8" t="s">
        <v>42</v>
      </c>
      <c r="B40" s="8" t="s">
        <v>452</v>
      </c>
      <c r="D40" s="25" t="s">
        <v>376</v>
      </c>
      <c r="E40" s="25" t="s">
        <v>495</v>
      </c>
      <c r="F40" s="25" t="s">
        <v>146</v>
      </c>
      <c r="G40" s="37" t="s">
        <v>509</v>
      </c>
    </row>
    <row r="41" spans="1:8" x14ac:dyDescent="0.25">
      <c r="A41" s="14">
        <v>0</v>
      </c>
      <c r="B41" t="s">
        <v>0</v>
      </c>
      <c r="D41" s="9">
        <v>-30000</v>
      </c>
      <c r="E41" s="34">
        <v>1</v>
      </c>
      <c r="F41" s="9">
        <f>D41*E41</f>
        <v>-30000</v>
      </c>
      <c r="G41" s="10">
        <f>+F41</f>
        <v>-30000</v>
      </c>
    </row>
    <row r="42" spans="1:8" x14ac:dyDescent="0.25">
      <c r="A42" s="161" t="s">
        <v>496</v>
      </c>
      <c r="B42" t="s">
        <v>394</v>
      </c>
      <c r="C42" t="s">
        <v>497</v>
      </c>
      <c r="D42" s="9">
        <f>-30000*0.6*1500/1000</f>
        <v>-27000</v>
      </c>
      <c r="E42" s="34">
        <f>(1-(1.1)^-6)/0.1</f>
        <v>4.3552606994622272</v>
      </c>
      <c r="F42" s="9">
        <f t="shared" ref="F42:F48" si="5">D42*E42</f>
        <v>-117592.03888548013</v>
      </c>
      <c r="G42" s="10"/>
    </row>
    <row r="43" spans="1:8" x14ac:dyDescent="0.25">
      <c r="A43" s="161" t="s">
        <v>496</v>
      </c>
      <c r="B43" t="s">
        <v>230</v>
      </c>
      <c r="C43" t="s">
        <v>498</v>
      </c>
      <c r="D43" s="9">
        <f>40000*1500/1000</f>
        <v>60000</v>
      </c>
      <c r="E43" s="34">
        <f t="shared" ref="E43:E46" si="6">(1-(1.1)^-6)/0.1</f>
        <v>4.3552606994622272</v>
      </c>
      <c r="F43" s="9">
        <f t="shared" si="5"/>
        <v>261315.64196773362</v>
      </c>
      <c r="G43" s="10"/>
    </row>
    <row r="44" spans="1:8" x14ac:dyDescent="0.25">
      <c r="A44" s="161" t="s">
        <v>496</v>
      </c>
      <c r="B44" t="s">
        <v>499</v>
      </c>
      <c r="C44" t="s">
        <v>500</v>
      </c>
      <c r="D44" s="9">
        <f>-4000*1500/1000</f>
        <v>-6000</v>
      </c>
      <c r="E44" s="34">
        <f t="shared" si="6"/>
        <v>4.3552606994622272</v>
      </c>
      <c r="F44" s="9">
        <f t="shared" si="5"/>
        <v>-26131.564196773365</v>
      </c>
      <c r="G44" s="10"/>
    </row>
    <row r="45" spans="1:8" x14ac:dyDescent="0.25">
      <c r="A45" s="161" t="s">
        <v>496</v>
      </c>
      <c r="B45" t="s">
        <v>501</v>
      </c>
      <c r="C45" t="s">
        <v>502</v>
      </c>
      <c r="D45" s="9">
        <f>-60000*0.2</f>
        <v>-12000</v>
      </c>
      <c r="E45" s="34">
        <f t="shared" si="6"/>
        <v>4.3552606994622272</v>
      </c>
      <c r="F45" s="9">
        <f t="shared" si="5"/>
        <v>-52263.128393546729</v>
      </c>
      <c r="G45" s="164" t="s">
        <v>522</v>
      </c>
    </row>
    <row r="46" spans="1:8" x14ac:dyDescent="0.25">
      <c r="A46" s="161" t="s">
        <v>496</v>
      </c>
      <c r="B46" t="s">
        <v>503</v>
      </c>
      <c r="C46" t="s">
        <v>504</v>
      </c>
      <c r="D46" s="9">
        <f>-15000*0.28</f>
        <v>-4200</v>
      </c>
      <c r="E46" s="34">
        <f t="shared" si="6"/>
        <v>4.3552606994622272</v>
      </c>
      <c r="F46" s="9">
        <f t="shared" si="5"/>
        <v>-18292.094937741353</v>
      </c>
      <c r="G46" s="163" t="s">
        <v>523</v>
      </c>
      <c r="H46" s="10"/>
    </row>
    <row r="47" spans="1:8" x14ac:dyDescent="0.25">
      <c r="A47" s="161" t="s">
        <v>158</v>
      </c>
      <c r="B47" t="s">
        <v>505</v>
      </c>
      <c r="C47" t="s">
        <v>506</v>
      </c>
      <c r="D47" s="9">
        <f>30000/5*0.28</f>
        <v>1680.0000000000002</v>
      </c>
      <c r="E47" s="34">
        <f>(1-(1.1)^-5)/0.1</f>
        <v>3.7907867694084505</v>
      </c>
      <c r="F47" s="9">
        <f t="shared" si="5"/>
        <v>6368.5217726061974</v>
      </c>
      <c r="G47" s="10">
        <f>+F47</f>
        <v>6368.5217726061974</v>
      </c>
    </row>
    <row r="48" spans="1:8" x14ac:dyDescent="0.25">
      <c r="A48" s="161" t="s">
        <v>158</v>
      </c>
      <c r="B48" t="s">
        <v>507</v>
      </c>
      <c r="C48" t="s">
        <v>508</v>
      </c>
      <c r="D48" s="9">
        <f>2000/5*0.28</f>
        <v>112.00000000000001</v>
      </c>
      <c r="E48" s="34">
        <f>(1-(1.1)^-5)/0.1</f>
        <v>3.7907867694084505</v>
      </c>
      <c r="F48" s="9">
        <f t="shared" si="5"/>
        <v>424.56811817374648</v>
      </c>
      <c r="G48" s="10">
        <f>+F48</f>
        <v>424.56811817374648</v>
      </c>
      <c r="H48" s="10"/>
    </row>
    <row r="49" spans="1:8" ht="15.75" thickBot="1" x14ac:dyDescent="0.3">
      <c r="E49" s="8" t="s">
        <v>148</v>
      </c>
      <c r="F49" s="162">
        <f>SUM(F41:F48)</f>
        <v>23829.905444971973</v>
      </c>
      <c r="G49" s="45">
        <v>0</v>
      </c>
      <c r="H49" s="10"/>
    </row>
    <row r="50" spans="1:8" ht="15.75" thickTop="1" x14ac:dyDescent="0.25">
      <c r="B50" t="s">
        <v>524</v>
      </c>
    </row>
    <row r="52" spans="1:8" x14ac:dyDescent="0.25">
      <c r="B52" t="s">
        <v>525</v>
      </c>
    </row>
    <row r="53" spans="1:8" x14ac:dyDescent="0.25">
      <c r="B53" t="s">
        <v>526</v>
      </c>
      <c r="G53">
        <f>4.355*0.72</f>
        <v>3.1356000000000002</v>
      </c>
    </row>
    <row r="54" spans="1:8" x14ac:dyDescent="0.25">
      <c r="B54" t="s">
        <v>527</v>
      </c>
      <c r="G54" s="10">
        <f>+G41+G47+G48</f>
        <v>-23206.910109220058</v>
      </c>
    </row>
    <row r="55" spans="1:8" x14ac:dyDescent="0.25">
      <c r="B55" s="64" t="s">
        <v>528</v>
      </c>
      <c r="G55">
        <f>+G54/G53</f>
        <v>-7401.1066810881675</v>
      </c>
    </row>
    <row r="57" spans="1:8" x14ac:dyDescent="0.25">
      <c r="B57" t="s">
        <v>529</v>
      </c>
      <c r="C57" s="10">
        <f>SUM(D42:D45)</f>
        <v>15000</v>
      </c>
    </row>
    <row r="58" spans="1:8" x14ac:dyDescent="0.25">
      <c r="B58" t="s">
        <v>530</v>
      </c>
      <c r="C58">
        <v>-7401.1</v>
      </c>
    </row>
    <row r="59" spans="1:8" x14ac:dyDescent="0.25">
      <c r="B59" t="s">
        <v>519</v>
      </c>
      <c r="C59" s="10">
        <f>SUM(C57:C58)</f>
        <v>7598.9</v>
      </c>
    </row>
    <row r="60" spans="1:8" ht="15.75" thickBot="1" x14ac:dyDescent="0.3">
      <c r="B60" t="s">
        <v>520</v>
      </c>
      <c r="C60" s="166">
        <f>+C59/C57</f>
        <v>0.50659333333333334</v>
      </c>
      <c r="D60" t="s">
        <v>531</v>
      </c>
    </row>
    <row r="61" spans="1:8" ht="15.75" thickTop="1" x14ac:dyDescent="0.25"/>
    <row r="63" spans="1:8" x14ac:dyDescent="0.25">
      <c r="B63" s="1" t="s">
        <v>532</v>
      </c>
    </row>
    <row r="64" spans="1:8" x14ac:dyDescent="0.25">
      <c r="A64" t="s">
        <v>42</v>
      </c>
      <c r="B64" t="s">
        <v>144</v>
      </c>
      <c r="C64" t="s">
        <v>64</v>
      </c>
    </row>
    <row r="65" spans="1:3" x14ac:dyDescent="0.25">
      <c r="A65">
        <v>0</v>
      </c>
      <c r="B65" s="9">
        <v>-30000</v>
      </c>
      <c r="C65" s="10">
        <f>+B65</f>
        <v>-30000</v>
      </c>
    </row>
    <row r="66" spans="1:3" x14ac:dyDescent="0.25">
      <c r="A66">
        <v>1</v>
      </c>
      <c r="B66" s="10">
        <f>SUM(D42:D48)</f>
        <v>12592</v>
      </c>
      <c r="C66" s="10">
        <f>+C65+B66</f>
        <v>-17408</v>
      </c>
    </row>
    <row r="67" spans="1:3" x14ac:dyDescent="0.25">
      <c r="A67">
        <v>2</v>
      </c>
      <c r="B67" s="10">
        <v>12592</v>
      </c>
      <c r="C67" s="10">
        <f>+C66+B67</f>
        <v>-4816</v>
      </c>
    </row>
    <row r="68" spans="1:3" x14ac:dyDescent="0.25">
      <c r="A68">
        <v>3</v>
      </c>
      <c r="B68" s="10">
        <v>12592</v>
      </c>
      <c r="C68" s="10">
        <f>+C67+B68</f>
        <v>7776</v>
      </c>
    </row>
    <row r="69" spans="1:3" x14ac:dyDescent="0.25">
      <c r="A69">
        <v>4</v>
      </c>
      <c r="B69" s="10">
        <v>12592</v>
      </c>
    </row>
    <row r="70" spans="1:3" x14ac:dyDescent="0.25">
      <c r="A70">
        <v>5</v>
      </c>
      <c r="B70" s="10">
        <v>12592</v>
      </c>
    </row>
    <row r="71" spans="1:3" x14ac:dyDescent="0.25">
      <c r="A71">
        <v>6</v>
      </c>
      <c r="B71" s="10">
        <v>10800</v>
      </c>
    </row>
    <row r="73" spans="1:3" x14ac:dyDescent="0.25">
      <c r="B73" t="s">
        <v>533</v>
      </c>
    </row>
    <row r="74" spans="1:3" x14ac:dyDescent="0.25">
      <c r="B74" t="s">
        <v>534</v>
      </c>
    </row>
    <row r="76" spans="1:3" x14ac:dyDescent="0.25">
      <c r="B76" t="s">
        <v>535</v>
      </c>
      <c r="C76" s="9">
        <v>6</v>
      </c>
    </row>
    <row r="77" spans="1:3" x14ac:dyDescent="0.25">
      <c r="B77" t="s">
        <v>536</v>
      </c>
      <c r="C77" s="9">
        <v>2.46</v>
      </c>
    </row>
    <row r="78" spans="1:3" x14ac:dyDescent="0.25">
      <c r="B78" t="s">
        <v>537</v>
      </c>
      <c r="C78" s="10">
        <f>C76-C77</f>
        <v>3.54</v>
      </c>
    </row>
    <row r="79" spans="1:3" ht="15.75" thickBot="1" x14ac:dyDescent="0.3">
      <c r="B79" t="s">
        <v>520</v>
      </c>
      <c r="C79" s="167">
        <f>C78/C76</f>
        <v>0.59</v>
      </c>
    </row>
    <row r="80" spans="1:3" ht="15.75" thickTop="1" x14ac:dyDescent="0.25"/>
    <row r="81" spans="1:9" x14ac:dyDescent="0.25">
      <c r="B81" s="8" t="s">
        <v>538</v>
      </c>
    </row>
    <row r="83" spans="1:9" x14ac:dyDescent="0.25">
      <c r="A83" s="8" t="s">
        <v>42</v>
      </c>
      <c r="B83" s="8" t="s">
        <v>452</v>
      </c>
      <c r="D83" s="25" t="s">
        <v>376</v>
      </c>
      <c r="E83" s="25" t="s">
        <v>495</v>
      </c>
      <c r="F83" s="25" t="s">
        <v>146</v>
      </c>
      <c r="G83" s="25" t="s">
        <v>539</v>
      </c>
      <c r="H83" s="25" t="s">
        <v>146</v>
      </c>
    </row>
    <row r="84" spans="1:9" x14ac:dyDescent="0.25">
      <c r="A84" s="14">
        <v>0</v>
      </c>
      <c r="B84" t="s">
        <v>0</v>
      </c>
      <c r="D84" s="9">
        <v>-30000</v>
      </c>
      <c r="E84" s="34">
        <v>1</v>
      </c>
      <c r="F84" s="9">
        <f>D84*E84</f>
        <v>-30000</v>
      </c>
      <c r="G84" s="34">
        <v>1</v>
      </c>
      <c r="H84" s="9">
        <f>+D84*G84</f>
        <v>-30000</v>
      </c>
    </row>
    <row r="85" spans="1:9" x14ac:dyDescent="0.25">
      <c r="A85" s="161" t="s">
        <v>496</v>
      </c>
      <c r="B85" t="s">
        <v>394</v>
      </c>
      <c r="C85" t="s">
        <v>497</v>
      </c>
      <c r="D85" s="9">
        <f>-30000*0.6*1500/1000</f>
        <v>-27000</v>
      </c>
      <c r="E85" s="34">
        <f>(1-(1.1)^-6)/0.1</f>
        <v>4.3552606994622272</v>
      </c>
      <c r="F85" s="9">
        <f t="shared" ref="F85:F91" si="7">D85*E85</f>
        <v>-117592.03888548013</v>
      </c>
      <c r="G85" s="34">
        <f>(1-(1.2)^-6)/0.2</f>
        <v>3.3255101165980792</v>
      </c>
      <c r="H85" s="9">
        <f t="shared" ref="H85:H91" si="8">+D85*G85</f>
        <v>-89788.773148148131</v>
      </c>
    </row>
    <row r="86" spans="1:9" x14ac:dyDescent="0.25">
      <c r="A86" s="161" t="s">
        <v>496</v>
      </c>
      <c r="B86" t="s">
        <v>230</v>
      </c>
      <c r="C86" t="s">
        <v>498</v>
      </c>
      <c r="D86" s="9">
        <f>40000*1500/1000</f>
        <v>60000</v>
      </c>
      <c r="E86" s="34">
        <f t="shared" ref="E86:E89" si="9">(1-(1.1)^-6)/0.1</f>
        <v>4.3552606994622272</v>
      </c>
      <c r="F86" s="9">
        <f t="shared" si="7"/>
        <v>261315.64196773362</v>
      </c>
      <c r="G86" s="34">
        <f t="shared" ref="G86:G89" si="10">(1-(1.2)^-6)/0.2</f>
        <v>3.3255101165980792</v>
      </c>
      <c r="H86" s="9">
        <f t="shared" si="8"/>
        <v>199530.60699588474</v>
      </c>
    </row>
    <row r="87" spans="1:9" x14ac:dyDescent="0.25">
      <c r="A87" s="161" t="s">
        <v>496</v>
      </c>
      <c r="B87" t="s">
        <v>499</v>
      </c>
      <c r="C87" t="s">
        <v>500</v>
      </c>
      <c r="D87" s="9">
        <f>-4000*1500/1000</f>
        <v>-6000</v>
      </c>
      <c r="E87" s="34">
        <f t="shared" si="9"/>
        <v>4.3552606994622272</v>
      </c>
      <c r="F87" s="9">
        <f t="shared" si="7"/>
        <v>-26131.564196773365</v>
      </c>
      <c r="G87" s="34">
        <f t="shared" si="10"/>
        <v>3.3255101165980792</v>
      </c>
      <c r="H87" s="9">
        <f t="shared" si="8"/>
        <v>-19953.060699588474</v>
      </c>
    </row>
    <row r="88" spans="1:9" x14ac:dyDescent="0.25">
      <c r="A88" s="161" t="s">
        <v>496</v>
      </c>
      <c r="B88" t="s">
        <v>501</v>
      </c>
      <c r="C88" t="s">
        <v>502</v>
      </c>
      <c r="D88" s="9">
        <f>-60000*0.2</f>
        <v>-12000</v>
      </c>
      <c r="E88" s="34">
        <f t="shared" si="9"/>
        <v>4.3552606994622272</v>
      </c>
      <c r="F88" s="9">
        <f t="shared" si="7"/>
        <v>-52263.128393546729</v>
      </c>
      <c r="G88" s="34">
        <f t="shared" si="10"/>
        <v>3.3255101165980792</v>
      </c>
      <c r="H88" s="9">
        <f t="shared" si="8"/>
        <v>-39906.121399176947</v>
      </c>
    </row>
    <row r="89" spans="1:9" x14ac:dyDescent="0.25">
      <c r="A89" s="161" t="s">
        <v>496</v>
      </c>
      <c r="B89" t="s">
        <v>503</v>
      </c>
      <c r="C89" t="s">
        <v>504</v>
      </c>
      <c r="D89" s="9">
        <f>-15000*0.28</f>
        <v>-4200</v>
      </c>
      <c r="E89" s="34">
        <f t="shared" si="9"/>
        <v>4.3552606994622272</v>
      </c>
      <c r="F89" s="9">
        <f t="shared" si="7"/>
        <v>-18292.094937741353</v>
      </c>
      <c r="G89" s="34">
        <f t="shared" si="10"/>
        <v>3.3255101165980792</v>
      </c>
      <c r="H89" s="9">
        <f t="shared" si="8"/>
        <v>-13967.142489711932</v>
      </c>
    </row>
    <row r="90" spans="1:9" x14ac:dyDescent="0.25">
      <c r="A90" s="161" t="s">
        <v>158</v>
      </c>
      <c r="B90" t="s">
        <v>505</v>
      </c>
      <c r="C90" t="s">
        <v>506</v>
      </c>
      <c r="D90" s="9">
        <f>30000/5*0.28</f>
        <v>1680.0000000000002</v>
      </c>
      <c r="E90" s="34">
        <f>(1-(1.1)^-5)/0.1</f>
        <v>3.7907867694084505</v>
      </c>
      <c r="F90" s="9">
        <f t="shared" si="7"/>
        <v>6368.5217726061974</v>
      </c>
      <c r="G90" s="34">
        <f>(1-(1.2)^-5)/0.2</f>
        <v>2.9906121399176953</v>
      </c>
      <c r="H90" s="9">
        <f t="shared" si="8"/>
        <v>5024.2283950617284</v>
      </c>
    </row>
    <row r="91" spans="1:9" x14ac:dyDescent="0.25">
      <c r="A91" s="161" t="s">
        <v>158</v>
      </c>
      <c r="B91" t="s">
        <v>507</v>
      </c>
      <c r="C91" t="s">
        <v>508</v>
      </c>
      <c r="D91" s="9">
        <f>2000/5*0.28</f>
        <v>112.00000000000001</v>
      </c>
      <c r="E91" s="34">
        <f>(1-(1.1)^-5)/0.1</f>
        <v>3.7907867694084505</v>
      </c>
      <c r="F91" s="9">
        <f t="shared" si="7"/>
        <v>424.56811817374648</v>
      </c>
      <c r="G91" s="34">
        <f>(1-(1.2)^-5)/0.2</f>
        <v>2.9906121399176953</v>
      </c>
      <c r="H91" s="9">
        <f t="shared" si="8"/>
        <v>334.94855967078189</v>
      </c>
    </row>
    <row r="92" spans="1:9" ht="15.75" thickBot="1" x14ac:dyDescent="0.3">
      <c r="E92" s="8" t="s">
        <v>148</v>
      </c>
      <c r="F92" s="162">
        <f>SUM(F84:F91)</f>
        <v>23829.905444971973</v>
      </c>
      <c r="G92" s="8" t="s">
        <v>148</v>
      </c>
      <c r="H92" s="162">
        <f>SUM(H84:H91)</f>
        <v>11274.686213991761</v>
      </c>
    </row>
    <row r="93" spans="1:9" ht="15.75" thickTop="1" x14ac:dyDescent="0.25"/>
    <row r="94" spans="1:9" ht="16.5" thickBot="1" x14ac:dyDescent="0.3">
      <c r="A94" s="186" t="s">
        <v>281</v>
      </c>
      <c r="B94" s="186" t="s">
        <v>284</v>
      </c>
      <c r="C94" s="186" t="s">
        <v>34</v>
      </c>
      <c r="D94" s="186" t="s">
        <v>285</v>
      </c>
      <c r="E94" s="189" t="s">
        <v>406</v>
      </c>
      <c r="F94" s="189"/>
      <c r="G94" s="189"/>
      <c r="H94" s="186" t="s">
        <v>407</v>
      </c>
      <c r="I94" s="186" t="s">
        <v>408</v>
      </c>
    </row>
    <row r="95" spans="1:9" ht="15.75" x14ac:dyDescent="0.25">
      <c r="A95" s="186"/>
      <c r="B95" s="186"/>
      <c r="C95" s="186"/>
      <c r="D95" s="186"/>
      <c r="E95" s="102" t="s">
        <v>406</v>
      </c>
      <c r="F95" s="103" t="s">
        <v>291</v>
      </c>
      <c r="G95" s="103" t="s">
        <v>409</v>
      </c>
      <c r="H95" s="186"/>
      <c r="I95" s="186"/>
    </row>
    <row r="96" spans="1:9" ht="16.5" thickBot="1" x14ac:dyDescent="0.3">
      <c r="B96" s="186" t="s">
        <v>284</v>
      </c>
      <c r="C96" s="187">
        <v>0.1</v>
      </c>
      <c r="D96" s="186" t="s">
        <v>285</v>
      </c>
      <c r="E96" s="188">
        <f>+F92</f>
        <v>23829.905444971973</v>
      </c>
      <c r="F96" s="188"/>
      <c r="G96" s="188"/>
      <c r="H96" s="186" t="s">
        <v>407</v>
      </c>
      <c r="I96" s="186" t="s">
        <v>410</v>
      </c>
    </row>
    <row r="97" spans="2:9" ht="15.75" x14ac:dyDescent="0.25">
      <c r="B97" s="186"/>
      <c r="C97" s="187"/>
      <c r="D97" s="186"/>
      <c r="E97" s="104">
        <f>+F92</f>
        <v>23829.905444971973</v>
      </c>
      <c r="F97" s="103" t="s">
        <v>291</v>
      </c>
      <c r="G97" s="105">
        <f>+H92</f>
        <v>11274.686213991761</v>
      </c>
      <c r="H97" s="186"/>
      <c r="I97" s="186"/>
    </row>
    <row r="98" spans="2:9" x14ac:dyDescent="0.25">
      <c r="B98" s="186" t="s">
        <v>284</v>
      </c>
      <c r="C98" s="187">
        <v>0.1</v>
      </c>
      <c r="D98" s="186" t="s">
        <v>285</v>
      </c>
      <c r="E98" s="186">
        <f>23829.91/(23829.91-11275)</f>
        <v>1.8980550238910514</v>
      </c>
      <c r="F98" s="186" t="s">
        <v>407</v>
      </c>
      <c r="G98" s="186">
        <v>0.1</v>
      </c>
    </row>
    <row r="99" spans="2:9" x14ac:dyDescent="0.25">
      <c r="B99" s="186"/>
      <c r="C99" s="187"/>
      <c r="D99" s="186"/>
      <c r="E99" s="186"/>
      <c r="F99" s="186"/>
      <c r="G99" s="186"/>
    </row>
    <row r="100" spans="2:9" ht="15.75" x14ac:dyDescent="0.25">
      <c r="B100" s="102" t="s">
        <v>284</v>
      </c>
      <c r="C100" s="168">
        <f>+C98+(E98*G98)</f>
        <v>0.28980550238910519</v>
      </c>
      <c r="H100">
        <f>+E98*G98</f>
        <v>0.18980550238910515</v>
      </c>
    </row>
    <row r="102" spans="2:9" x14ac:dyDescent="0.25">
      <c r="B102" t="s">
        <v>540</v>
      </c>
      <c r="C102" s="165">
        <v>0.1</v>
      </c>
    </row>
    <row r="103" spans="2:9" x14ac:dyDescent="0.25">
      <c r="B103" t="s">
        <v>541</v>
      </c>
      <c r="C103" s="165">
        <f>+C100</f>
        <v>0.28980550238910519</v>
      </c>
    </row>
    <row r="104" spans="2:9" x14ac:dyDescent="0.25">
      <c r="B104" t="s">
        <v>537</v>
      </c>
      <c r="C104" s="165">
        <f>+C103-C102</f>
        <v>0.18980550238910518</v>
      </c>
    </row>
    <row r="105" spans="2:9" ht="15.75" thickBot="1" x14ac:dyDescent="0.3">
      <c r="B105" t="s">
        <v>537</v>
      </c>
      <c r="C105" s="169">
        <f>19/10</f>
        <v>1.9</v>
      </c>
    </row>
    <row r="106" spans="2:9" ht="15.75" thickTop="1" x14ac:dyDescent="0.25"/>
  </sheetData>
  <mergeCells count="19">
    <mergeCell ref="G98:G99"/>
    <mergeCell ref="I94:I95"/>
    <mergeCell ref="B96:B97"/>
    <mergeCell ref="C96:C97"/>
    <mergeCell ref="D96:D97"/>
    <mergeCell ref="E96:G96"/>
    <mergeCell ref="H96:H97"/>
    <mergeCell ref="I96:I97"/>
    <mergeCell ref="H94:H95"/>
    <mergeCell ref="B98:B99"/>
    <mergeCell ref="C98:C99"/>
    <mergeCell ref="D98:D99"/>
    <mergeCell ref="E98:E99"/>
    <mergeCell ref="F98:F99"/>
    <mergeCell ref="A94:A95"/>
    <mergeCell ref="B94:B95"/>
    <mergeCell ref="C94:C95"/>
    <mergeCell ref="D94:D95"/>
    <mergeCell ref="E94:G94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7"/>
  <sheetViews>
    <sheetView workbookViewId="0">
      <selection activeCell="M23" sqref="M23"/>
    </sheetView>
  </sheetViews>
  <sheetFormatPr defaultRowHeight="15" x14ac:dyDescent="0.25"/>
  <cols>
    <col min="2" max="2" width="17" customWidth="1"/>
    <col min="3" max="3" width="11" bestFit="1" customWidth="1"/>
    <col min="4" max="4" width="15" bestFit="1" customWidth="1"/>
    <col min="7" max="7" width="18.140625" customWidth="1"/>
    <col min="8" max="8" width="11" bestFit="1" customWidth="1"/>
    <col min="9" max="9" width="15" bestFit="1" customWidth="1"/>
    <col min="13" max="13" width="14.28515625" bestFit="1" customWidth="1"/>
    <col min="14" max="14" width="12" customWidth="1"/>
    <col min="15" max="15" width="11.5703125" bestFit="1" customWidth="1"/>
    <col min="17" max="17" width="11" customWidth="1"/>
    <col min="18" max="18" width="11.5703125" bestFit="1" customWidth="1"/>
  </cols>
  <sheetData>
    <row r="2" spans="1:15" x14ac:dyDescent="0.25">
      <c r="A2" s="8" t="s">
        <v>542</v>
      </c>
      <c r="G2" s="9">
        <f>10000*12*5</f>
        <v>600000</v>
      </c>
    </row>
    <row r="4" spans="1:15" x14ac:dyDescent="0.25">
      <c r="A4" s="26" t="s">
        <v>543</v>
      </c>
    </row>
    <row r="6" spans="1:15" x14ac:dyDescent="0.25">
      <c r="A6" t="s">
        <v>40</v>
      </c>
      <c r="B6" s="11" t="s">
        <v>544</v>
      </c>
      <c r="C6" s="19" t="s">
        <v>545</v>
      </c>
      <c r="D6" s="74" t="s">
        <v>546</v>
      </c>
      <c r="F6" s="26" t="s">
        <v>547</v>
      </c>
    </row>
    <row r="7" spans="1:15" x14ac:dyDescent="0.25">
      <c r="C7" t="s">
        <v>548</v>
      </c>
      <c r="M7" t="s">
        <v>549</v>
      </c>
      <c r="O7" s="9">
        <v>250000</v>
      </c>
    </row>
    <row r="8" spans="1:15" x14ac:dyDescent="0.25">
      <c r="F8" s="8" t="s">
        <v>42</v>
      </c>
      <c r="G8" s="8" t="s">
        <v>550</v>
      </c>
      <c r="H8" s="8" t="s">
        <v>298</v>
      </c>
      <c r="I8" s="25" t="s">
        <v>146</v>
      </c>
      <c r="M8" t="s">
        <v>551</v>
      </c>
      <c r="O8" s="9">
        <f>-O7*0.28</f>
        <v>-70000</v>
      </c>
    </row>
    <row r="9" spans="1:15" ht="15.75" thickBot="1" x14ac:dyDescent="0.3">
      <c r="B9" s="11" t="s">
        <v>544</v>
      </c>
      <c r="C9" s="151">
        <v>1.1759999999999999</v>
      </c>
      <c r="D9" s="74" t="s">
        <v>546</v>
      </c>
      <c r="F9" s="14">
        <v>0</v>
      </c>
      <c r="G9" s="9">
        <v>-5000000</v>
      </c>
      <c r="H9" s="153">
        <v>1</v>
      </c>
      <c r="I9" s="60">
        <f>G9*H9</f>
        <v>-5000000</v>
      </c>
      <c r="M9" t="s">
        <v>552</v>
      </c>
      <c r="O9" s="38">
        <f>SUM(O7:O8)</f>
        <v>180000</v>
      </c>
    </row>
    <row r="10" spans="1:15" ht="15.75" thickTop="1" x14ac:dyDescent="0.25">
      <c r="C10">
        <v>1.05</v>
      </c>
      <c r="F10" s="39" t="s">
        <v>553</v>
      </c>
      <c r="G10" s="9">
        <f>-250000*(1-0.28)</f>
        <v>-180000</v>
      </c>
      <c r="H10" s="34">
        <f>(1-(1+0.12)^-4)/0.12</f>
        <v>3.0373493466264065</v>
      </c>
      <c r="I10" s="10">
        <f>+G10*H10</f>
        <v>-546722.88239275315</v>
      </c>
    </row>
    <row r="11" spans="1:15" x14ac:dyDescent="0.25">
      <c r="F11" s="14">
        <v>4</v>
      </c>
      <c r="G11" s="9">
        <f>-G9*0.4</f>
        <v>2000000</v>
      </c>
      <c r="H11" s="34">
        <f>1/1.12^4</f>
        <v>0.63551807840483121</v>
      </c>
      <c r="I11" s="10">
        <f>+G11*H11</f>
        <v>1271036.1568096625</v>
      </c>
      <c r="M11" s="1" t="s">
        <v>554</v>
      </c>
    </row>
    <row r="12" spans="1:15" ht="15.75" thickBot="1" x14ac:dyDescent="0.3">
      <c r="B12" s="11" t="s">
        <v>544</v>
      </c>
      <c r="C12" s="9">
        <f>1.176/1.05</f>
        <v>1.1199999999999999</v>
      </c>
      <c r="D12" s="74" t="s">
        <v>546</v>
      </c>
      <c r="H12" s="8" t="s">
        <v>148</v>
      </c>
      <c r="I12" s="62">
        <f>SUM(I9:I11)</f>
        <v>-4275686.7255830904</v>
      </c>
    </row>
    <row r="13" spans="1:15" ht="15.75" thickTop="1" x14ac:dyDescent="0.25"/>
    <row r="14" spans="1:15" ht="15.75" thickBot="1" x14ac:dyDescent="0.3">
      <c r="B14" s="25" t="s">
        <v>544</v>
      </c>
      <c r="C14" s="152">
        <v>0.12</v>
      </c>
    </row>
    <row r="15" spans="1:15" ht="15.75" thickTop="1" x14ac:dyDescent="0.25">
      <c r="F15" s="26" t="s">
        <v>555</v>
      </c>
    </row>
    <row r="17" spans="1:18" x14ac:dyDescent="0.25">
      <c r="F17" s="8" t="s">
        <v>42</v>
      </c>
      <c r="G17" s="8" t="s">
        <v>550</v>
      </c>
      <c r="H17" s="8" t="s">
        <v>298</v>
      </c>
      <c r="I17" s="25" t="s">
        <v>146</v>
      </c>
    </row>
    <row r="18" spans="1:18" x14ac:dyDescent="0.25">
      <c r="F18" s="39" t="s">
        <v>553</v>
      </c>
      <c r="G18" s="9">
        <f>-80000*12*0.72</f>
        <v>-691200</v>
      </c>
      <c r="H18" s="34">
        <f>(1-(1+0.12)^-4)/0.12</f>
        <v>3.0373493466264065</v>
      </c>
      <c r="I18" s="10">
        <f>+G18*H18</f>
        <v>-2099415.8683881722</v>
      </c>
      <c r="M18" t="s">
        <v>556</v>
      </c>
      <c r="O18" s="9">
        <v>80000</v>
      </c>
      <c r="Q18" t="s">
        <v>557</v>
      </c>
      <c r="R18" s="10">
        <f>O18*0.15</f>
        <v>12000</v>
      </c>
    </row>
    <row r="19" spans="1:18" x14ac:dyDescent="0.25">
      <c r="F19" s="39" t="s">
        <v>553</v>
      </c>
      <c r="G19" s="9">
        <f>-R21</f>
        <v>-103680</v>
      </c>
      <c r="H19" s="34">
        <f>(1-(1+0.12)^-4)/0.12</f>
        <v>3.0373493466264065</v>
      </c>
      <c r="I19" s="10">
        <f>+G19*H19</f>
        <v>-314912.38025822584</v>
      </c>
      <c r="M19" t="s">
        <v>551</v>
      </c>
      <c r="O19">
        <f>-O18*0.28</f>
        <v>-22400.000000000004</v>
      </c>
      <c r="R19" s="9">
        <f>-R18*0.28</f>
        <v>-3360.0000000000005</v>
      </c>
    </row>
    <row r="20" spans="1:18" ht="15.75" thickBot="1" x14ac:dyDescent="0.3">
      <c r="H20" s="8" t="s">
        <v>148</v>
      </c>
      <c r="I20" s="62">
        <f>SUM(I18:I19)</f>
        <v>-2414328.2486463981</v>
      </c>
      <c r="M20" t="s">
        <v>558</v>
      </c>
      <c r="O20" s="10">
        <f>SUM(O18:O19)</f>
        <v>57600</v>
      </c>
      <c r="R20" s="10">
        <f>SUM(R18:R19)</f>
        <v>8640</v>
      </c>
    </row>
    <row r="21" spans="1:18" ht="16.5" thickTop="1" thickBot="1" x14ac:dyDescent="0.3">
      <c r="M21" t="s">
        <v>559</v>
      </c>
      <c r="O21" s="143">
        <f>+O20*12</f>
        <v>691200</v>
      </c>
      <c r="R21" s="143">
        <f>+R20*12</f>
        <v>103680</v>
      </c>
    </row>
    <row r="22" spans="1:18" ht="15.75" thickTop="1" x14ac:dyDescent="0.25">
      <c r="F22" s="64" t="s">
        <v>560</v>
      </c>
      <c r="G22" s="1"/>
      <c r="H22" s="1"/>
      <c r="I22" s="154">
        <f>I20-I12</f>
        <v>1861358.4769366924</v>
      </c>
    </row>
    <row r="24" spans="1:18" x14ac:dyDescent="0.25">
      <c r="F24" s="1" t="s">
        <v>561</v>
      </c>
    </row>
    <row r="26" spans="1:18" x14ac:dyDescent="0.25">
      <c r="A26" t="s">
        <v>55</v>
      </c>
    </row>
    <row r="27" spans="1:18" x14ac:dyDescent="0.25">
      <c r="A27" s="18" t="s">
        <v>562</v>
      </c>
    </row>
    <row r="28" spans="1:18" x14ac:dyDescent="0.25">
      <c r="A28" t="s">
        <v>563</v>
      </c>
    </row>
    <row r="29" spans="1:18" x14ac:dyDescent="0.25">
      <c r="A29" s="155" t="s">
        <v>564</v>
      </c>
    </row>
    <row r="31" spans="1:18" x14ac:dyDescent="0.25">
      <c r="A31" s="8" t="s">
        <v>42</v>
      </c>
      <c r="B31" s="8" t="s">
        <v>550</v>
      </c>
      <c r="C31" s="8" t="s">
        <v>298</v>
      </c>
      <c r="D31" s="25" t="s">
        <v>146</v>
      </c>
    </row>
    <row r="32" spans="1:18" x14ac:dyDescent="0.25">
      <c r="A32" s="39" t="s">
        <v>553</v>
      </c>
      <c r="B32" s="9" t="s">
        <v>565</v>
      </c>
      <c r="C32" s="34">
        <v>3.0373493466264065</v>
      </c>
      <c r="D32" s="10">
        <v>0</v>
      </c>
      <c r="F32" t="s">
        <v>566</v>
      </c>
      <c r="L32">
        <f>0.15*12*0.72*3.037</f>
        <v>3.9359519999999995</v>
      </c>
      <c r="M32">
        <f>12*0.72*3.037</f>
        <v>26.23968</v>
      </c>
      <c r="N32">
        <f>SUM(L32:M32)</f>
        <v>30.175632</v>
      </c>
    </row>
    <row r="33" spans="1:14" x14ac:dyDescent="0.25">
      <c r="A33" s="39" t="s">
        <v>553</v>
      </c>
      <c r="B33" s="9" t="s">
        <v>567</v>
      </c>
      <c r="C33" s="34">
        <v>3.0373493466264065</v>
      </c>
      <c r="D33" s="10">
        <v>0</v>
      </c>
      <c r="F33" t="s">
        <v>568</v>
      </c>
      <c r="N33">
        <f>4275686.726/N32</f>
        <v>141693.36125254974</v>
      </c>
    </row>
    <row r="34" spans="1:14" ht="15.75" thickBot="1" x14ac:dyDescent="0.3">
      <c r="C34" s="8" t="s">
        <v>148</v>
      </c>
      <c r="D34" s="62">
        <f>-I12</f>
        <v>4275686.7255830904</v>
      </c>
      <c r="F34" t="s">
        <v>569</v>
      </c>
      <c r="L34">
        <v>3.9359519999999999</v>
      </c>
    </row>
    <row r="35" spans="1:14" ht="15.75" thickTop="1" x14ac:dyDescent="0.25">
      <c r="F35" s="156" t="s">
        <v>570</v>
      </c>
    </row>
    <row r="36" spans="1:14" x14ac:dyDescent="0.25">
      <c r="F36" s="1" t="s">
        <v>571</v>
      </c>
    </row>
    <row r="38" spans="1:14" x14ac:dyDescent="0.25">
      <c r="A38" s="157" t="s">
        <v>572</v>
      </c>
    </row>
    <row r="39" spans="1:14" ht="21" customHeight="1" x14ac:dyDescent="0.25">
      <c r="A39" s="8" t="s">
        <v>573</v>
      </c>
    </row>
    <row r="40" spans="1:14" ht="21" customHeight="1" x14ac:dyDescent="0.25">
      <c r="A40" s="8"/>
    </row>
    <row r="41" spans="1:14" x14ac:dyDescent="0.25">
      <c r="A41" s="8" t="s">
        <v>42</v>
      </c>
      <c r="B41" s="8" t="s">
        <v>550</v>
      </c>
      <c r="C41" s="8" t="s">
        <v>298</v>
      </c>
      <c r="D41" s="25" t="s">
        <v>146</v>
      </c>
    </row>
    <row r="42" spans="1:14" x14ac:dyDescent="0.25">
      <c r="A42" s="14">
        <v>0</v>
      </c>
      <c r="B42" s="158" t="s">
        <v>574</v>
      </c>
      <c r="C42" s="153">
        <v>1</v>
      </c>
      <c r="D42" s="60">
        <v>0</v>
      </c>
      <c r="F42" t="s">
        <v>575</v>
      </c>
      <c r="M42">
        <f>0.4*0.636</f>
        <v>0.25440000000000002</v>
      </c>
    </row>
    <row r="43" spans="1:14" x14ac:dyDescent="0.25">
      <c r="A43" s="39" t="s">
        <v>553</v>
      </c>
      <c r="B43" s="158">
        <v>180000</v>
      </c>
      <c r="C43" s="34">
        <f>(1-(1+0.12)^-4)/0.12</f>
        <v>3.0373493466264065</v>
      </c>
      <c r="D43" s="10">
        <v>0</v>
      </c>
      <c r="F43" t="s">
        <v>576</v>
      </c>
    </row>
    <row r="44" spans="1:14" x14ac:dyDescent="0.25">
      <c r="A44" s="14">
        <v>4</v>
      </c>
      <c r="B44" s="159" t="s">
        <v>577</v>
      </c>
      <c r="C44" s="34">
        <f>1/1.12^4</f>
        <v>0.63551807840483121</v>
      </c>
      <c r="D44" s="10">
        <v>0</v>
      </c>
      <c r="F44" t="s">
        <v>578</v>
      </c>
      <c r="M44">
        <f>180000*3.037</f>
        <v>546660</v>
      </c>
      <c r="N44">
        <f>1-M42</f>
        <v>0.74560000000000004</v>
      </c>
    </row>
    <row r="45" spans="1:14" ht="15.75" thickBot="1" x14ac:dyDescent="0.3">
      <c r="C45" s="8" t="s">
        <v>148</v>
      </c>
      <c r="D45" s="62">
        <f>-I20</f>
        <v>2414328.2486463981</v>
      </c>
      <c r="F45" t="s">
        <v>579</v>
      </c>
      <c r="M45" s="60">
        <f>+D45-M44</f>
        <v>1867668.2486463981</v>
      </c>
    </row>
    <row r="46" spans="1:14" ht="15.75" thickTop="1" x14ac:dyDescent="0.25">
      <c r="F46" s="156" t="s">
        <v>580</v>
      </c>
      <c r="M46">
        <f>+M45/N44</f>
        <v>2504919.8613819717</v>
      </c>
    </row>
    <row r="47" spans="1:14" x14ac:dyDescent="0.25">
      <c r="F47" s="1" t="s">
        <v>581</v>
      </c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D21" sqref="D21"/>
    </sheetView>
  </sheetViews>
  <sheetFormatPr defaultRowHeight="15" x14ac:dyDescent="0.25"/>
  <cols>
    <col min="2" max="2" width="10.28515625" bestFit="1" customWidth="1"/>
    <col min="3" max="3" width="10.28515625" customWidth="1"/>
    <col min="8" max="8" width="9.5703125" customWidth="1"/>
  </cols>
  <sheetData>
    <row r="2" spans="1:11" x14ac:dyDescent="0.25">
      <c r="C2" s="170" t="s">
        <v>30</v>
      </c>
      <c r="D2" s="170"/>
      <c r="E2" s="170"/>
      <c r="F2" s="170"/>
      <c r="H2" s="170" t="s">
        <v>31</v>
      </c>
      <c r="I2" s="170"/>
      <c r="J2" s="170"/>
      <c r="K2" s="170"/>
    </row>
    <row r="3" spans="1:11" x14ac:dyDescent="0.25">
      <c r="D3" t="s">
        <v>60</v>
      </c>
      <c r="E3" t="s">
        <v>61</v>
      </c>
      <c r="I3" t="s">
        <v>60</v>
      </c>
      <c r="J3" t="s">
        <v>61</v>
      </c>
    </row>
    <row r="4" spans="1:11" x14ac:dyDescent="0.25">
      <c r="C4" t="s">
        <v>34</v>
      </c>
      <c r="D4" s="9">
        <v>4</v>
      </c>
      <c r="E4" s="23">
        <v>3.5</v>
      </c>
      <c r="F4" s="1" t="s">
        <v>37</v>
      </c>
      <c r="H4" t="s">
        <v>34</v>
      </c>
      <c r="I4" s="9">
        <v>4</v>
      </c>
      <c r="J4" s="23">
        <v>3.5</v>
      </c>
      <c r="K4" s="22" t="s">
        <v>35</v>
      </c>
    </row>
    <row r="5" spans="1:11" x14ac:dyDescent="0.25">
      <c r="C5" t="s">
        <v>36</v>
      </c>
      <c r="D5" s="9">
        <v>4</v>
      </c>
      <c r="E5" s="23">
        <v>5</v>
      </c>
      <c r="F5" s="22" t="s">
        <v>35</v>
      </c>
      <c r="H5" t="s">
        <v>36</v>
      </c>
      <c r="I5" s="9">
        <v>4</v>
      </c>
      <c r="J5" s="23">
        <v>5</v>
      </c>
      <c r="K5" s="22" t="s">
        <v>35</v>
      </c>
    </row>
    <row r="6" spans="1:11" x14ac:dyDescent="0.25">
      <c r="C6" t="s">
        <v>38</v>
      </c>
      <c r="D6" s="9">
        <v>4</v>
      </c>
      <c r="E6" s="23">
        <v>2</v>
      </c>
      <c r="F6" s="1" t="s">
        <v>37</v>
      </c>
      <c r="H6" t="s">
        <v>38</v>
      </c>
      <c r="I6" s="9">
        <v>4</v>
      </c>
      <c r="J6" s="23">
        <v>2</v>
      </c>
      <c r="K6" s="1" t="s">
        <v>37</v>
      </c>
    </row>
    <row r="8" spans="1:11" x14ac:dyDescent="0.25">
      <c r="A8" s="8" t="s">
        <v>62</v>
      </c>
    </row>
    <row r="10" spans="1:11" x14ac:dyDescent="0.25">
      <c r="A10" t="s">
        <v>42</v>
      </c>
      <c r="B10" s="11" t="s">
        <v>63</v>
      </c>
      <c r="C10" t="s">
        <v>64</v>
      </c>
    </row>
    <row r="11" spans="1:11" x14ac:dyDescent="0.25">
      <c r="A11" s="14">
        <v>0</v>
      </c>
      <c r="B11" s="9">
        <v>-1900</v>
      </c>
      <c r="C11" s="10">
        <f>+B11</f>
        <v>-1900</v>
      </c>
    </row>
    <row r="12" spans="1:11" x14ac:dyDescent="0.25">
      <c r="A12" s="14">
        <v>1</v>
      </c>
      <c r="B12" s="9">
        <v>300</v>
      </c>
      <c r="C12" s="10">
        <f>+C11+B12</f>
        <v>-1600</v>
      </c>
    </row>
    <row r="13" spans="1:11" x14ac:dyDescent="0.25">
      <c r="A13" s="14">
        <v>2</v>
      </c>
      <c r="B13" s="9">
        <v>500</v>
      </c>
      <c r="C13" s="10">
        <f>+C12+B13</f>
        <v>-1100</v>
      </c>
    </row>
    <row r="14" spans="1:11" x14ac:dyDescent="0.25">
      <c r="A14" s="14">
        <v>3</v>
      </c>
      <c r="B14" s="9">
        <v>600</v>
      </c>
      <c r="C14" s="10">
        <f>+C13+B14</f>
        <v>-500</v>
      </c>
    </row>
    <row r="15" spans="1:11" x14ac:dyDescent="0.25">
      <c r="A15" s="14">
        <v>4</v>
      </c>
      <c r="B15" s="9">
        <v>800</v>
      </c>
      <c r="C15" s="10">
        <f>+C14+B15</f>
        <v>300</v>
      </c>
      <c r="J15">
        <f>800/12</f>
        <v>66.666666666666671</v>
      </c>
    </row>
    <row r="16" spans="1:11" x14ac:dyDescent="0.25">
      <c r="A16" s="14">
        <v>5</v>
      </c>
      <c r="B16" s="9">
        <v>500</v>
      </c>
    </row>
    <row r="18" spans="2:7" x14ac:dyDescent="0.25">
      <c r="B18" t="s">
        <v>65</v>
      </c>
      <c r="C18" t="s">
        <v>66</v>
      </c>
      <c r="G18">
        <f>500/800</f>
        <v>0.625</v>
      </c>
    </row>
    <row r="19" spans="2:7" x14ac:dyDescent="0.25">
      <c r="C19" s="24" t="s">
        <v>67</v>
      </c>
      <c r="G19">
        <f>+G18*12</f>
        <v>7.5</v>
      </c>
    </row>
  </sheetData>
  <mergeCells count="2">
    <mergeCell ref="C2:F2"/>
    <mergeCell ref="H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7"/>
  <sheetViews>
    <sheetView workbookViewId="0">
      <selection activeCell="C22" sqref="C22"/>
    </sheetView>
  </sheetViews>
  <sheetFormatPr defaultRowHeight="15" x14ac:dyDescent="0.25"/>
  <cols>
    <col min="1" max="1" width="12.85546875" bestFit="1" customWidth="1"/>
    <col min="2" max="3" width="9.5703125" bestFit="1" customWidth="1"/>
    <col min="4" max="5" width="11.28515625" bestFit="1" customWidth="1"/>
    <col min="7" max="7" width="5" bestFit="1" customWidth="1"/>
    <col min="8" max="8" width="9.5703125" bestFit="1" customWidth="1"/>
    <col min="9" max="9" width="12.140625" customWidth="1"/>
    <col min="10" max="10" width="11.28515625" bestFit="1" customWidth="1"/>
    <col min="11" max="11" width="12" bestFit="1" customWidth="1"/>
    <col min="14" max="14" width="10.28515625" bestFit="1" customWidth="1"/>
    <col min="15" max="15" width="10.28515625" customWidth="1"/>
    <col min="16" max="17" width="11.28515625" bestFit="1" customWidth="1"/>
  </cols>
  <sheetData>
    <row r="3" spans="1:17" x14ac:dyDescent="0.25">
      <c r="A3" s="171" t="s">
        <v>68</v>
      </c>
      <c r="B3" s="171"/>
      <c r="C3" s="171"/>
      <c r="D3" s="171"/>
      <c r="E3" s="171"/>
      <c r="G3" s="171" t="s">
        <v>69</v>
      </c>
      <c r="H3" s="171"/>
      <c r="I3" s="171"/>
      <c r="J3" s="171"/>
      <c r="K3" s="171"/>
      <c r="M3" s="171" t="s">
        <v>70</v>
      </c>
      <c r="N3" s="171"/>
      <c r="O3" s="171"/>
      <c r="P3" s="171"/>
      <c r="Q3" s="171"/>
    </row>
    <row r="4" spans="1:17" x14ac:dyDescent="0.25">
      <c r="C4" t="s">
        <v>71</v>
      </c>
      <c r="I4" t="s">
        <v>71</v>
      </c>
      <c r="O4" t="s">
        <v>71</v>
      </c>
    </row>
    <row r="5" spans="1:17" x14ac:dyDescent="0.25">
      <c r="A5" s="8" t="s">
        <v>42</v>
      </c>
      <c r="B5" s="25" t="s">
        <v>45</v>
      </c>
      <c r="C5" s="8" t="s">
        <v>72</v>
      </c>
      <c r="D5" s="8" t="s">
        <v>73</v>
      </c>
      <c r="E5" s="8" t="s">
        <v>74</v>
      </c>
      <c r="G5" s="8" t="s">
        <v>42</v>
      </c>
      <c r="H5" s="25" t="s">
        <v>45</v>
      </c>
      <c r="I5" s="8" t="s">
        <v>72</v>
      </c>
      <c r="J5" s="8" t="s">
        <v>73</v>
      </c>
      <c r="K5" s="8" t="s">
        <v>74</v>
      </c>
      <c r="M5" s="8" t="s">
        <v>42</v>
      </c>
      <c r="N5" s="25" t="s">
        <v>45</v>
      </c>
      <c r="O5" s="8" t="s">
        <v>72</v>
      </c>
      <c r="P5" s="8" t="s">
        <v>73</v>
      </c>
      <c r="Q5" s="8" t="s">
        <v>74</v>
      </c>
    </row>
    <row r="6" spans="1:17" x14ac:dyDescent="0.25">
      <c r="A6">
        <v>0</v>
      </c>
      <c r="D6" s="9">
        <v>-20000</v>
      </c>
      <c r="E6" s="10">
        <f>+D6</f>
        <v>-20000</v>
      </c>
      <c r="G6">
        <v>0</v>
      </c>
      <c r="J6" s="9">
        <v>-20000</v>
      </c>
      <c r="K6" s="10">
        <f>+J6</f>
        <v>-20000</v>
      </c>
      <c r="M6">
        <v>0</v>
      </c>
      <c r="P6" s="9">
        <v>-20000</v>
      </c>
      <c r="Q6" s="10">
        <f>+P6</f>
        <v>-20000</v>
      </c>
    </row>
    <row r="7" spans="1:17" x14ac:dyDescent="0.25">
      <c r="A7">
        <v>1</v>
      </c>
      <c r="B7" s="9">
        <v>2000</v>
      </c>
      <c r="C7" s="9">
        <f>20000/5</f>
        <v>4000</v>
      </c>
      <c r="D7" s="10">
        <f>+B7+C7</f>
        <v>6000</v>
      </c>
      <c r="E7" s="10">
        <f>+E6+D7</f>
        <v>-14000</v>
      </c>
      <c r="G7">
        <v>1</v>
      </c>
      <c r="H7" s="9">
        <v>4000</v>
      </c>
      <c r="I7" s="9">
        <f>20000/5</f>
        <v>4000</v>
      </c>
      <c r="J7" s="10">
        <f>+H7+I7</f>
        <v>8000</v>
      </c>
      <c r="K7" s="10">
        <f>+K6+J7</f>
        <v>-12000</v>
      </c>
      <c r="M7">
        <v>1</v>
      </c>
      <c r="N7" s="9">
        <v>-2000</v>
      </c>
      <c r="O7" s="9">
        <f>20000/5</f>
        <v>4000</v>
      </c>
      <c r="P7" s="10">
        <f>+N7+O7</f>
        <v>2000</v>
      </c>
      <c r="Q7" s="10">
        <f>+Q6+P7</f>
        <v>-18000</v>
      </c>
    </row>
    <row r="8" spans="1:17" x14ac:dyDescent="0.25">
      <c r="A8">
        <v>2</v>
      </c>
      <c r="B8" s="9">
        <v>4000</v>
      </c>
      <c r="C8" s="9">
        <f t="shared" ref="C8:C11" si="0">20000/5</f>
        <v>4000</v>
      </c>
      <c r="D8" s="10">
        <f t="shared" ref="D8:D11" si="1">+B8+C8</f>
        <v>8000</v>
      </c>
      <c r="E8" s="10">
        <f>+E7+D8</f>
        <v>-6000</v>
      </c>
      <c r="G8">
        <v>2</v>
      </c>
      <c r="H8" s="9">
        <v>5000</v>
      </c>
      <c r="I8" s="9">
        <f t="shared" ref="I8:I11" si="2">20000/5</f>
        <v>4000</v>
      </c>
      <c r="J8" s="10">
        <f t="shared" ref="J8:J11" si="3">+H8+I8</f>
        <v>9000</v>
      </c>
      <c r="K8" s="10">
        <f>+K7+J8</f>
        <v>-3000</v>
      </c>
      <c r="M8">
        <v>2</v>
      </c>
      <c r="N8" s="9">
        <v>-1000</v>
      </c>
      <c r="O8" s="9">
        <f t="shared" ref="O8:O11" si="4">20000/5</f>
        <v>4000</v>
      </c>
      <c r="P8" s="10">
        <f t="shared" ref="P8:P11" si="5">+N8+O8</f>
        <v>3000</v>
      </c>
      <c r="Q8" s="10">
        <f>+Q7+P8</f>
        <v>-15000</v>
      </c>
    </row>
    <row r="9" spans="1:17" x14ac:dyDescent="0.25">
      <c r="A9">
        <v>3</v>
      </c>
      <c r="B9" s="9">
        <v>-500</v>
      </c>
      <c r="C9" s="9">
        <f t="shared" si="0"/>
        <v>4000</v>
      </c>
      <c r="D9" s="10">
        <f t="shared" si="1"/>
        <v>3500</v>
      </c>
      <c r="E9" s="10">
        <f>+E8+D9</f>
        <v>-2500</v>
      </c>
      <c r="G9">
        <v>3</v>
      </c>
      <c r="H9" s="9">
        <v>5000</v>
      </c>
      <c r="I9" s="9">
        <f t="shared" si="2"/>
        <v>4000</v>
      </c>
      <c r="J9" s="10">
        <f t="shared" si="3"/>
        <v>9000</v>
      </c>
      <c r="K9" s="10">
        <f>+K8+J9</f>
        <v>6000</v>
      </c>
      <c r="M9">
        <v>3</v>
      </c>
      <c r="N9" s="9">
        <v>1000</v>
      </c>
      <c r="O9" s="9">
        <f t="shared" si="4"/>
        <v>4000</v>
      </c>
      <c r="P9" s="10">
        <f t="shared" si="5"/>
        <v>5000</v>
      </c>
      <c r="Q9" s="10">
        <f>+Q8+P9</f>
        <v>-10000</v>
      </c>
    </row>
    <row r="10" spans="1:17" x14ac:dyDescent="0.25">
      <c r="A10">
        <v>4</v>
      </c>
      <c r="B10" s="9">
        <v>1500</v>
      </c>
      <c r="C10" s="9">
        <f t="shared" si="0"/>
        <v>4000</v>
      </c>
      <c r="D10" s="10">
        <f t="shared" si="1"/>
        <v>5500</v>
      </c>
      <c r="E10" s="10">
        <f>+E9+D10</f>
        <v>3000</v>
      </c>
      <c r="G10">
        <v>4</v>
      </c>
      <c r="H10" s="9">
        <v>3000</v>
      </c>
      <c r="I10" s="9">
        <f t="shared" si="2"/>
        <v>4000</v>
      </c>
      <c r="J10" s="10">
        <f t="shared" si="3"/>
        <v>7000</v>
      </c>
      <c r="K10" s="10">
        <f>+K9+J10</f>
        <v>13000</v>
      </c>
      <c r="M10">
        <v>4</v>
      </c>
      <c r="N10" s="9">
        <v>3000</v>
      </c>
      <c r="O10" s="9">
        <f t="shared" si="4"/>
        <v>4000</v>
      </c>
      <c r="P10" s="10">
        <f t="shared" si="5"/>
        <v>7000</v>
      </c>
      <c r="Q10" s="10">
        <f>+Q9+P10</f>
        <v>-3000</v>
      </c>
    </row>
    <row r="11" spans="1:17" x14ac:dyDescent="0.25">
      <c r="A11">
        <v>5</v>
      </c>
      <c r="B11" s="9">
        <v>2000</v>
      </c>
      <c r="C11" s="9">
        <f t="shared" si="0"/>
        <v>4000</v>
      </c>
      <c r="D11" s="10">
        <f t="shared" si="1"/>
        <v>6000</v>
      </c>
      <c r="G11">
        <v>5</v>
      </c>
      <c r="H11" s="9">
        <v>2000</v>
      </c>
      <c r="I11" s="9">
        <f t="shared" si="2"/>
        <v>4000</v>
      </c>
      <c r="J11" s="10">
        <f t="shared" si="3"/>
        <v>6000</v>
      </c>
      <c r="M11">
        <v>5</v>
      </c>
      <c r="N11" s="9">
        <v>6000</v>
      </c>
      <c r="O11" s="9">
        <f t="shared" si="4"/>
        <v>4000</v>
      </c>
      <c r="P11" s="10">
        <f t="shared" si="5"/>
        <v>10000</v>
      </c>
      <c r="Q11" s="10">
        <f>+Q10+P11</f>
        <v>7000</v>
      </c>
    </row>
    <row r="13" spans="1:17" x14ac:dyDescent="0.25">
      <c r="B13" t="s">
        <v>75</v>
      </c>
      <c r="C13" t="s">
        <v>76</v>
      </c>
      <c r="H13" t="s">
        <v>75</v>
      </c>
      <c r="I13" t="s">
        <v>77</v>
      </c>
      <c r="N13" t="s">
        <v>75</v>
      </c>
      <c r="O13" t="s">
        <v>78</v>
      </c>
    </row>
    <row r="15" spans="1:17" ht="15.75" thickBot="1" x14ac:dyDescent="0.3">
      <c r="C15" s="20" t="s">
        <v>79</v>
      </c>
      <c r="I15" s="20" t="s">
        <v>80</v>
      </c>
      <c r="O15" s="20" t="s">
        <v>81</v>
      </c>
    </row>
    <row r="16" spans="1:17" ht="15.75" thickTop="1" x14ac:dyDescent="0.25"/>
    <row r="17" spans="1:15" s="1" customFormat="1" x14ac:dyDescent="0.25">
      <c r="A17" s="1" t="s">
        <v>82</v>
      </c>
      <c r="C17" s="1" t="s">
        <v>83</v>
      </c>
      <c r="I17" s="1" t="s">
        <v>84</v>
      </c>
      <c r="O17" s="1" t="s">
        <v>83</v>
      </c>
    </row>
  </sheetData>
  <mergeCells count="3">
    <mergeCell ref="A3:E3"/>
    <mergeCell ref="G3:K3"/>
    <mergeCell ref="M3:Q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22" sqref="D22"/>
    </sheetView>
  </sheetViews>
  <sheetFormatPr defaultRowHeight="15" x14ac:dyDescent="0.25"/>
  <cols>
    <col min="6" max="6" width="15.28515625" customWidth="1"/>
  </cols>
  <sheetData>
    <row r="2" spans="1:7" x14ac:dyDescent="0.25">
      <c r="A2" s="26" t="s">
        <v>85</v>
      </c>
    </row>
    <row r="4" spans="1:7" x14ac:dyDescent="0.25">
      <c r="A4" s="26" t="s">
        <v>86</v>
      </c>
      <c r="G4" s="26" t="s">
        <v>87</v>
      </c>
    </row>
    <row r="5" spans="1:7" x14ac:dyDescent="0.25">
      <c r="A5" t="s">
        <v>88</v>
      </c>
      <c r="G5" t="s">
        <v>89</v>
      </c>
    </row>
    <row r="6" spans="1:7" x14ac:dyDescent="0.25">
      <c r="A6" t="s">
        <v>90</v>
      </c>
      <c r="G6" t="s">
        <v>91</v>
      </c>
    </row>
    <row r="7" spans="1:7" x14ac:dyDescent="0.25">
      <c r="A7" t="s">
        <v>92</v>
      </c>
      <c r="G7" t="s">
        <v>93</v>
      </c>
    </row>
    <row r="8" spans="1:7" x14ac:dyDescent="0.25">
      <c r="A8" t="s">
        <v>94</v>
      </c>
      <c r="G8" t="s">
        <v>95</v>
      </c>
    </row>
    <row r="9" spans="1:7" x14ac:dyDescent="0.25">
      <c r="A9" t="s">
        <v>96</v>
      </c>
      <c r="G9" t="s">
        <v>97</v>
      </c>
    </row>
    <row r="10" spans="1:7" x14ac:dyDescent="0.25">
      <c r="G10" t="s">
        <v>98</v>
      </c>
    </row>
    <row r="11" spans="1:7" x14ac:dyDescent="0.25">
      <c r="G11" t="s">
        <v>99</v>
      </c>
    </row>
    <row r="12" spans="1:7" x14ac:dyDescent="0.25">
      <c r="G12" t="s">
        <v>100</v>
      </c>
    </row>
    <row r="13" spans="1:7" x14ac:dyDescent="0.25">
      <c r="G13" t="s">
        <v>101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B22" sqref="B22"/>
    </sheetView>
  </sheetViews>
  <sheetFormatPr defaultRowHeight="15" x14ac:dyDescent="0.25"/>
  <cols>
    <col min="2" max="2" width="13.28515625" bestFit="1" customWidth="1"/>
    <col min="3" max="3" width="14.42578125" bestFit="1" customWidth="1"/>
    <col min="4" max="4" width="13.28515625" bestFit="1" customWidth="1"/>
  </cols>
  <sheetData>
    <row r="2" spans="1:7" x14ac:dyDescent="0.25">
      <c r="A2" s="8" t="s">
        <v>102</v>
      </c>
    </row>
    <row r="4" spans="1:7" x14ac:dyDescent="0.25">
      <c r="A4" s="8" t="s">
        <v>42</v>
      </c>
      <c r="B4" s="25" t="s">
        <v>103</v>
      </c>
      <c r="C4" s="25" t="s">
        <v>104</v>
      </c>
      <c r="D4" s="25" t="s">
        <v>105</v>
      </c>
    </row>
    <row r="5" spans="1:7" x14ac:dyDescent="0.25">
      <c r="A5">
        <v>1</v>
      </c>
      <c r="B5" s="9">
        <v>1000000</v>
      </c>
      <c r="C5" s="9">
        <f>+B5*0.15</f>
        <v>150000</v>
      </c>
      <c r="D5" s="10">
        <f>SUM(B5:C5)</f>
        <v>1150000</v>
      </c>
    </row>
    <row r="6" spans="1:7" x14ac:dyDescent="0.25">
      <c r="A6">
        <v>2</v>
      </c>
      <c r="B6" s="10">
        <f>+D5</f>
        <v>1150000</v>
      </c>
      <c r="C6" s="9">
        <f>+B6*0.15</f>
        <v>172500</v>
      </c>
      <c r="D6" s="10">
        <f>SUM(B6:C6)</f>
        <v>1322500</v>
      </c>
    </row>
    <row r="7" spans="1:7" x14ac:dyDescent="0.25">
      <c r="A7">
        <v>3</v>
      </c>
      <c r="B7" s="10">
        <f>+D6</f>
        <v>1322500</v>
      </c>
      <c r="C7" s="9">
        <f t="shared" ref="C7" si="0">+B7*0.15</f>
        <v>198375</v>
      </c>
      <c r="D7" s="10">
        <f>+B7+C7</f>
        <v>1520875</v>
      </c>
    </row>
    <row r="8" spans="1:7" x14ac:dyDescent="0.25">
      <c r="C8" s="9"/>
    </row>
    <row r="10" spans="1:7" x14ac:dyDescent="0.25">
      <c r="B10" t="s">
        <v>106</v>
      </c>
      <c r="C10" t="s">
        <v>107</v>
      </c>
    </row>
    <row r="11" spans="1:7" x14ac:dyDescent="0.25">
      <c r="C11" t="s">
        <v>108</v>
      </c>
    </row>
    <row r="12" spans="1:7" x14ac:dyDescent="0.25">
      <c r="C12" t="s">
        <v>109</v>
      </c>
    </row>
    <row r="13" spans="1:7" ht="17.25" x14ac:dyDescent="0.4">
      <c r="C13" s="28">
        <f>1000000*G13</f>
        <v>1520874.9999999995</v>
      </c>
      <c r="G13">
        <f>1.15^3</f>
        <v>1.5208749999999995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E22" sqref="E22"/>
    </sheetView>
  </sheetViews>
  <sheetFormatPr defaultRowHeight="15" x14ac:dyDescent="0.25"/>
  <cols>
    <col min="2" max="2" width="13.28515625" bestFit="1" customWidth="1"/>
  </cols>
  <sheetData>
    <row r="2" spans="1:2" x14ac:dyDescent="0.25">
      <c r="A2" s="8" t="s">
        <v>110</v>
      </c>
    </row>
    <row r="5" spans="1:2" x14ac:dyDescent="0.25">
      <c r="A5" t="s">
        <v>111</v>
      </c>
      <c r="B5" s="21" t="s">
        <v>112</v>
      </c>
    </row>
    <row r="6" spans="1:2" x14ac:dyDescent="0.25">
      <c r="B6" s="7" t="s">
        <v>113</v>
      </c>
    </row>
    <row r="8" spans="1:2" x14ac:dyDescent="0.25">
      <c r="B8" s="15">
        <v>1520875</v>
      </c>
    </row>
    <row r="9" spans="1:2" x14ac:dyDescent="0.25">
      <c r="B9" t="s">
        <v>114</v>
      </c>
    </row>
    <row r="11" spans="1:2" x14ac:dyDescent="0.25">
      <c r="B11" s="12">
        <f>+B8</f>
        <v>1520875</v>
      </c>
    </row>
    <row r="12" spans="1:2" x14ac:dyDescent="0.25">
      <c r="B12" s="9">
        <f>1.15^3</f>
        <v>1.5208749999999995</v>
      </c>
    </row>
    <row r="14" spans="1:2" ht="17.25" x14ac:dyDescent="0.4">
      <c r="B14" s="29">
        <f>B11/B12</f>
        <v>1000000.0000000003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opLeftCell="E1" workbookViewId="0">
      <selection activeCell="G24" sqref="G24"/>
    </sheetView>
  </sheetViews>
  <sheetFormatPr defaultRowHeight="15" x14ac:dyDescent="0.25"/>
  <cols>
    <col min="2" max="2" width="13.5703125" customWidth="1"/>
    <col min="3" max="3" width="11" customWidth="1"/>
    <col min="4" max="4" width="10.28515625" bestFit="1" customWidth="1"/>
    <col min="5" max="5" width="13.28515625" bestFit="1" customWidth="1"/>
    <col min="12" max="12" width="18.28515625" customWidth="1"/>
    <col min="13" max="13" width="11.28515625" bestFit="1" customWidth="1"/>
    <col min="17" max="17" width="14" bestFit="1" customWidth="1"/>
  </cols>
  <sheetData>
    <row r="2" spans="1:15" x14ac:dyDescent="0.25">
      <c r="C2" t="s">
        <v>115</v>
      </c>
    </row>
    <row r="3" spans="1:15" x14ac:dyDescent="0.25">
      <c r="B3" t="s">
        <v>116</v>
      </c>
      <c r="E3" t="s">
        <v>117</v>
      </c>
      <c r="H3" t="s">
        <v>118</v>
      </c>
      <c r="L3" t="s">
        <v>119</v>
      </c>
    </row>
    <row r="4" spans="1:15" x14ac:dyDescent="0.25">
      <c r="B4" t="s">
        <v>120</v>
      </c>
      <c r="C4" t="s">
        <v>121</v>
      </c>
      <c r="E4" t="s">
        <v>122</v>
      </c>
      <c r="H4" t="s">
        <v>123</v>
      </c>
      <c r="L4" s="30" t="s">
        <v>123</v>
      </c>
    </row>
    <row r="5" spans="1:15" x14ac:dyDescent="0.25">
      <c r="B5" s="9">
        <v>1000000</v>
      </c>
      <c r="E5" s="10">
        <f>+'E5'!B8</f>
        <v>1520875</v>
      </c>
      <c r="H5" s="1" t="s">
        <v>124</v>
      </c>
      <c r="L5" s="31" t="s">
        <v>125</v>
      </c>
    </row>
    <row r="6" spans="1:15" x14ac:dyDescent="0.25">
      <c r="L6" s="1" t="s">
        <v>126</v>
      </c>
    </row>
    <row r="8" spans="1:15" x14ac:dyDescent="0.25">
      <c r="L8" t="s">
        <v>127</v>
      </c>
      <c r="M8" s="32">
        <v>-1000000</v>
      </c>
    </row>
    <row r="9" spans="1:15" x14ac:dyDescent="0.25">
      <c r="A9" t="s">
        <v>128</v>
      </c>
      <c r="L9" t="s">
        <v>129</v>
      </c>
      <c r="M9" s="32">
        <v>1100000</v>
      </c>
    </row>
    <row r="10" spans="1:15" x14ac:dyDescent="0.25">
      <c r="L10" t="s">
        <v>45</v>
      </c>
      <c r="M10" s="33">
        <f>SUM(M8:M9)</f>
        <v>100000</v>
      </c>
      <c r="N10" s="1" t="s">
        <v>130</v>
      </c>
      <c r="O10" s="1" t="s">
        <v>131</v>
      </c>
    </row>
    <row r="11" spans="1:15" x14ac:dyDescent="0.25">
      <c r="B11" s="18" t="s">
        <v>132</v>
      </c>
      <c r="C11" s="18" t="s">
        <v>133</v>
      </c>
    </row>
    <row r="12" spans="1:15" x14ac:dyDescent="0.25">
      <c r="B12" t="s">
        <v>134</v>
      </c>
      <c r="C12" t="s">
        <v>135</v>
      </c>
      <c r="L12" t="s">
        <v>127</v>
      </c>
      <c r="M12" s="32">
        <v>-1000000</v>
      </c>
    </row>
    <row r="13" spans="1:15" x14ac:dyDescent="0.25">
      <c r="B13" t="s">
        <v>136</v>
      </c>
      <c r="C13" t="s">
        <v>121</v>
      </c>
      <c r="E13" t="s">
        <v>137</v>
      </c>
      <c r="L13" t="s">
        <v>138</v>
      </c>
      <c r="M13" s="32">
        <v>855455</v>
      </c>
    </row>
    <row r="14" spans="1:15" x14ac:dyDescent="0.25">
      <c r="B14" t="s">
        <v>139</v>
      </c>
      <c r="C14" t="s">
        <v>121</v>
      </c>
      <c r="L14" t="s">
        <v>45</v>
      </c>
      <c r="M14" s="33">
        <f>SUM(M12:M13)</f>
        <v>-144545</v>
      </c>
      <c r="N14" t="s">
        <v>140</v>
      </c>
      <c r="O14" s="1" t="s">
        <v>141</v>
      </c>
    </row>
    <row r="15" spans="1:15" x14ac:dyDescent="0.25">
      <c r="B15" t="s">
        <v>142</v>
      </c>
      <c r="C15" t="s">
        <v>121</v>
      </c>
    </row>
    <row r="17" spans="1:17" x14ac:dyDescent="0.25">
      <c r="L17" t="s">
        <v>143</v>
      </c>
      <c r="P17" t="s">
        <v>143</v>
      </c>
    </row>
    <row r="18" spans="1:17" x14ac:dyDescent="0.25">
      <c r="A18" s="26" t="s">
        <v>42</v>
      </c>
      <c r="B18" s="36" t="s">
        <v>144</v>
      </c>
      <c r="C18" s="36" t="s">
        <v>145</v>
      </c>
      <c r="D18" s="36" t="s">
        <v>146</v>
      </c>
      <c r="L18" t="s">
        <v>147</v>
      </c>
    </row>
    <row r="19" spans="1:17" x14ac:dyDescent="0.25">
      <c r="A19">
        <v>0</v>
      </c>
      <c r="B19" s="9">
        <v>-2000</v>
      </c>
      <c r="C19" s="35">
        <v>1</v>
      </c>
      <c r="D19" s="9">
        <f>B19*C19</f>
        <v>-2000</v>
      </c>
    </row>
    <row r="20" spans="1:17" x14ac:dyDescent="0.25">
      <c r="A20">
        <v>1</v>
      </c>
      <c r="B20" s="9">
        <v>400</v>
      </c>
      <c r="C20" s="35">
        <f>1/1.1^1</f>
        <v>0.90909090909090906</v>
      </c>
      <c r="D20" s="9">
        <f t="shared" ref="D20:D23" si="0">B20*C20</f>
        <v>363.63636363636363</v>
      </c>
    </row>
    <row r="21" spans="1:17" x14ac:dyDescent="0.25">
      <c r="A21">
        <v>2</v>
      </c>
      <c r="B21" s="9">
        <v>600</v>
      </c>
      <c r="C21" s="35">
        <f>1/1.1^2</f>
        <v>0.82644628099173545</v>
      </c>
      <c r="D21" s="9">
        <f t="shared" si="0"/>
        <v>495.8677685950413</v>
      </c>
    </row>
    <row r="22" spans="1:17" x14ac:dyDescent="0.25">
      <c r="A22">
        <v>3</v>
      </c>
      <c r="B22" s="9">
        <v>700</v>
      </c>
      <c r="C22" s="35">
        <f>1/1.1^3</f>
        <v>0.75131480090157754</v>
      </c>
      <c r="D22" s="9">
        <f t="shared" si="0"/>
        <v>525.92036063110424</v>
      </c>
    </row>
    <row r="23" spans="1:17" x14ac:dyDescent="0.25">
      <c r="A23">
        <v>4</v>
      </c>
      <c r="B23" s="9">
        <v>800</v>
      </c>
      <c r="C23" s="35">
        <f>1/1.1^4</f>
        <v>0.68301345536507052</v>
      </c>
      <c r="D23" s="9">
        <f t="shared" si="0"/>
        <v>546.41076429205646</v>
      </c>
    </row>
    <row r="24" spans="1:17" ht="15.75" thickBot="1" x14ac:dyDescent="0.3">
      <c r="C24" t="s">
        <v>148</v>
      </c>
      <c r="D24" s="13">
        <f>SUM(D19:D23)</f>
        <v>-68.164742845434489</v>
      </c>
      <c r="E24" t="s">
        <v>149</v>
      </c>
    </row>
    <row r="25" spans="1:17" ht="15.75" thickTop="1" x14ac:dyDescent="0.25"/>
    <row r="26" spans="1:17" x14ac:dyDescent="0.25">
      <c r="P26" t="s">
        <v>150</v>
      </c>
      <c r="Q26" s="9">
        <v>2000000</v>
      </c>
    </row>
    <row r="27" spans="1:17" x14ac:dyDescent="0.25">
      <c r="P27" t="s">
        <v>133</v>
      </c>
      <c r="Q27" s="9">
        <v>-1820000</v>
      </c>
    </row>
    <row r="28" spans="1:17" x14ac:dyDescent="0.25">
      <c r="L28" t="s">
        <v>151</v>
      </c>
      <c r="P28" t="s">
        <v>45</v>
      </c>
      <c r="Q28" s="10">
        <f>SUM(Q26:Q27)</f>
        <v>180000</v>
      </c>
    </row>
    <row r="29" spans="1:17" x14ac:dyDescent="0.25">
      <c r="L29" t="s">
        <v>152</v>
      </c>
    </row>
    <row r="30" spans="1:17" x14ac:dyDescent="0.25">
      <c r="N30" t="s">
        <v>153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8" ma:contentTypeDescription="Create a new document." ma:contentTypeScope="" ma:versionID="ee78e4b72632758de8621c71d7cecb3a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e13ea50a332677d6ea91e655bc6929c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2D8E2-1E80-4B8E-8835-4BC8643F5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C6244-4C6D-42D1-B2B3-C25D580A3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892B4-1FDD-43F8-A246-0C38EACD6F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Sheet1</vt:lpstr>
      <vt:lpstr>E1</vt:lpstr>
      <vt:lpstr>E2</vt:lpstr>
      <vt:lpstr>E3</vt:lpstr>
      <vt:lpstr>RCF</vt:lpstr>
      <vt:lpstr>E4</vt:lpstr>
      <vt:lpstr>E5</vt:lpstr>
      <vt:lpstr>E6</vt:lpstr>
      <vt:lpstr>Sheet2</vt:lpstr>
      <vt:lpstr>E7</vt:lpstr>
      <vt:lpstr>E8</vt:lpstr>
      <vt:lpstr>E9</vt:lpstr>
      <vt:lpstr>Inflation</vt:lpstr>
      <vt:lpstr>E12</vt:lpstr>
      <vt:lpstr>IT</vt:lpstr>
      <vt:lpstr>E10</vt:lpstr>
      <vt:lpstr>E11</vt:lpstr>
      <vt:lpstr>E13</vt:lpstr>
      <vt:lpstr>IRR</vt:lpstr>
      <vt:lpstr>Cap Rat</vt:lpstr>
      <vt:lpstr>E14</vt:lpstr>
      <vt:lpstr>Q1</vt:lpstr>
      <vt:lpstr>Q2</vt:lpstr>
      <vt:lpstr>Q3</vt:lpstr>
      <vt:lpstr>Q4</vt:lpstr>
      <vt:lpstr>Q5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Sunanda Abeykoon</dc:creator>
  <cp:keywords/>
  <dc:description/>
  <cp:lastModifiedBy>vLearning1</cp:lastModifiedBy>
  <cp:revision/>
  <dcterms:created xsi:type="dcterms:W3CDTF">2015-06-05T18:17:20Z</dcterms:created>
  <dcterms:modified xsi:type="dcterms:W3CDTF">2022-07-18T07:30:11Z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