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4080" windowHeight="6825" activeTab="10"/>
  </bookViews>
  <sheets>
    <sheet name="Sheet1" sheetId="1" r:id="rId1"/>
    <sheet name="E1" sheetId="2" r:id="rId2"/>
    <sheet name="E2" sheetId="3" r:id="rId3"/>
    <sheet name="E3" sheetId="4" r:id="rId4"/>
    <sheet name="E4" sheetId="11" r:id="rId5"/>
    <sheet name="Q1" sheetId="5" r:id="rId6"/>
    <sheet name="Q3" sheetId="6" r:id="rId7"/>
    <sheet name="Q4" sheetId="7" r:id="rId8"/>
    <sheet name="Q5" sheetId="8" r:id="rId9"/>
    <sheet name="Q6" sheetId="9" r:id="rId10"/>
    <sheet name="2021 Dec Q2" sheetId="10"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5" i="10" l="1"/>
  <c r="C55" i="10"/>
  <c r="B55" i="10"/>
  <c r="D42" i="10"/>
  <c r="C42" i="10"/>
  <c r="B42" i="10"/>
  <c r="D32" i="10"/>
  <c r="F32" i="10" s="1"/>
  <c r="D31" i="10"/>
  <c r="F31" i="10" s="1"/>
  <c r="D30" i="10"/>
  <c r="F30" i="10" s="1"/>
  <c r="F33" i="10" s="1"/>
  <c r="B24" i="10"/>
  <c r="E23" i="10"/>
  <c r="D22" i="10"/>
  <c r="E22" i="10" s="1"/>
  <c r="E21" i="10"/>
  <c r="D16" i="10"/>
  <c r="D17" i="10" s="1"/>
  <c r="C16" i="10"/>
  <c r="C17" i="10" s="1"/>
  <c r="B16" i="10"/>
  <c r="B17" i="10" s="1"/>
  <c r="C9" i="9" l="1"/>
  <c r="B9" i="9"/>
  <c r="C13" i="9"/>
  <c r="C15" i="9" s="1"/>
  <c r="B33" i="9"/>
  <c r="E32" i="9"/>
  <c r="I32" i="9" s="1"/>
  <c r="E31" i="9"/>
  <c r="E30" i="9"/>
  <c r="G30" i="9" s="1"/>
  <c r="E29" i="9"/>
  <c r="I29" i="9" s="1"/>
  <c r="E28" i="9"/>
  <c r="B18" i="8"/>
  <c r="E17" i="8"/>
  <c r="E16" i="8"/>
  <c r="E15" i="8"/>
  <c r="E14" i="8"/>
  <c r="B6" i="8" s="1"/>
  <c r="B9" i="8"/>
  <c r="C8" i="8"/>
  <c r="B8" i="8"/>
  <c r="C7" i="8"/>
  <c r="B7" i="8"/>
  <c r="C6" i="8"/>
  <c r="C10" i="8" s="1"/>
  <c r="C11" i="8" s="1"/>
  <c r="B10" i="8" l="1"/>
  <c r="B11" i="8" s="1"/>
  <c r="G28" i="9"/>
  <c r="I28" i="9"/>
  <c r="I31" i="9"/>
  <c r="G31" i="9"/>
  <c r="C8" i="9"/>
  <c r="C10" i="9" s="1"/>
  <c r="B8" i="9"/>
  <c r="B10" i="9" s="1"/>
  <c r="G32" i="9"/>
  <c r="G29" i="9"/>
  <c r="G33" i="9" s="1"/>
  <c r="G35" i="9" s="1"/>
  <c r="B22" i="9" s="1"/>
  <c r="B24" i="9" s="1"/>
  <c r="I30" i="9"/>
  <c r="I33" i="9" s="1"/>
  <c r="I35" i="9" s="1"/>
  <c r="C22" i="9" s="1"/>
  <c r="C24" i="9" s="1"/>
  <c r="C22" i="7" l="1"/>
  <c r="C30" i="7"/>
  <c r="F30" i="7" s="1"/>
  <c r="H30" i="7" s="1"/>
  <c r="C29" i="7"/>
  <c r="F29" i="7" s="1"/>
  <c r="H29" i="7" s="1"/>
  <c r="C28" i="7"/>
  <c r="F28" i="7" s="1"/>
  <c r="H28" i="7" s="1"/>
  <c r="C21" i="7"/>
  <c r="C12" i="7"/>
  <c r="C11" i="7"/>
  <c r="C13" i="7" s="1"/>
  <c r="C19" i="6"/>
  <c r="B19" i="6"/>
  <c r="C17" i="6"/>
  <c r="B17" i="6"/>
  <c r="C15" i="6"/>
  <c r="C21" i="6" s="1"/>
  <c r="C26" i="6" s="1"/>
  <c r="C27" i="6" s="1"/>
  <c r="B15" i="6"/>
  <c r="B21" i="6" s="1"/>
  <c r="B26" i="6" s="1"/>
  <c r="B27" i="6" s="1"/>
  <c r="E9" i="6"/>
  <c r="E10" i="6"/>
  <c r="E8" i="6"/>
  <c r="B11" i="6"/>
  <c r="B15" i="5"/>
  <c r="B14" i="5"/>
  <c r="B13" i="5"/>
  <c r="D7" i="5"/>
  <c r="H7" i="5" s="1"/>
  <c r="D8" i="5"/>
  <c r="H8" i="5" s="1"/>
  <c r="D6" i="5"/>
  <c r="H6" i="5" s="1"/>
  <c r="B9" i="5"/>
  <c r="C28" i="6" l="1"/>
  <c r="C29" i="6" s="1"/>
  <c r="C35" i="6" s="1"/>
  <c r="C36" i="6" s="1"/>
  <c r="C37" i="6" s="1"/>
  <c r="B28" i="6"/>
  <c r="B29" i="6" s="1"/>
  <c r="B35" i="6" s="1"/>
  <c r="B36" i="6" s="1"/>
  <c r="B37" i="6" s="1"/>
  <c r="H31" i="7"/>
  <c r="C23" i="7"/>
  <c r="C31" i="7"/>
  <c r="B16" i="5"/>
  <c r="D9" i="5"/>
  <c r="E37" i="4"/>
  <c r="E36" i="4"/>
  <c r="C38" i="4"/>
  <c r="C37" i="4"/>
  <c r="C36" i="4"/>
  <c r="C35" i="4"/>
  <c r="E34" i="4"/>
  <c r="E39" i="4" s="1"/>
  <c r="C34" i="4"/>
  <c r="E27" i="4"/>
  <c r="E28" i="4"/>
  <c r="E29" i="4"/>
  <c r="E26" i="4"/>
  <c r="B30" i="4"/>
  <c r="E8" i="4"/>
  <c r="E9" i="4" s="1"/>
  <c r="C8" i="4"/>
  <c r="C9" i="4" s="1"/>
  <c r="C18" i="4"/>
  <c r="C20" i="4" s="1"/>
  <c r="C57" i="3"/>
  <c r="B57" i="3"/>
  <c r="B43" i="3"/>
  <c r="C31" i="3"/>
  <c r="B31" i="3"/>
  <c r="G21" i="3"/>
  <c r="G20" i="3"/>
  <c r="F20" i="3"/>
  <c r="G18" i="3"/>
  <c r="G16" i="3"/>
  <c r="F16" i="3"/>
  <c r="G14" i="3"/>
  <c r="F14" i="3"/>
  <c r="B11" i="3"/>
  <c r="D10" i="3"/>
  <c r="F10" i="3" s="1"/>
  <c r="D9" i="3"/>
  <c r="F9" i="3" s="1"/>
  <c r="D8" i="3"/>
  <c r="B50" i="3" s="1"/>
  <c r="D7" i="3"/>
  <c r="F7" i="3" s="1"/>
  <c r="C14" i="3" s="1"/>
  <c r="C39" i="4" l="1"/>
  <c r="F24" i="3"/>
  <c r="G24" i="3"/>
  <c r="C20" i="3"/>
  <c r="B20" i="3"/>
  <c r="D20" i="3" s="1"/>
  <c r="C18" i="3"/>
  <c r="B18" i="3"/>
  <c r="D18" i="3" s="1"/>
  <c r="B14" i="3"/>
  <c r="F8" i="3"/>
  <c r="D14" i="3" l="1"/>
  <c r="C16" i="3"/>
  <c r="C22" i="3" s="1"/>
  <c r="C24" i="3" s="1"/>
  <c r="C32" i="3" s="1"/>
  <c r="C33" i="3" s="1"/>
  <c r="C38" i="3" s="1"/>
  <c r="C39" i="3" s="1"/>
  <c r="B16" i="3"/>
  <c r="D16" i="3" s="1"/>
  <c r="D22" i="3" l="1"/>
  <c r="B42" i="3" s="1"/>
  <c r="B44" i="3" s="1"/>
  <c r="B22" i="3"/>
  <c r="B24" i="3" s="1"/>
  <c r="B32" i="3" s="1"/>
  <c r="B33" i="3" s="1"/>
  <c r="B38" i="3" s="1"/>
  <c r="B39" i="3" s="1"/>
  <c r="B49" i="3" l="1"/>
  <c r="B51" i="3" s="1"/>
  <c r="B58" i="3" l="1"/>
  <c r="C58" i="3"/>
  <c r="C59" i="3"/>
  <c r="B59" i="3"/>
  <c r="H35" i="1"/>
  <c r="D35" i="1"/>
  <c r="I13" i="1"/>
  <c r="D13" i="1"/>
  <c r="C38" i="2" l="1"/>
  <c r="B38" i="2"/>
  <c r="B33" i="2"/>
  <c r="F30" i="2"/>
  <c r="F31" i="2"/>
  <c r="C42" i="2" s="1"/>
  <c r="F32" i="2"/>
  <c r="C44" i="2" s="1"/>
  <c r="D29" i="2"/>
  <c r="F29" i="2" s="1"/>
  <c r="D28" i="2"/>
  <c r="F28" i="2" s="1"/>
  <c r="C20" i="2"/>
  <c r="C15" i="2"/>
  <c r="B20" i="2" s="1"/>
  <c r="B22" i="2" s="1"/>
  <c r="B57" i="2" s="1"/>
  <c r="C13" i="2"/>
  <c r="E20" i="2" l="1"/>
  <c r="C40" i="2"/>
  <c r="B40" i="2"/>
  <c r="C36" i="2"/>
  <c r="C46" i="2" s="1"/>
  <c r="C48" i="2" s="1"/>
  <c r="C52" i="2" s="1"/>
  <c r="C53" i="2" s="1"/>
  <c r="C58" i="2" s="1"/>
  <c r="B36" i="2"/>
  <c r="B42" i="2"/>
  <c r="C22" i="2"/>
  <c r="C57" i="2" s="1"/>
  <c r="B44" i="2"/>
  <c r="C59" i="2" l="1"/>
  <c r="C60" i="2" s="1"/>
  <c r="B46" i="2"/>
  <c r="B48" i="2" l="1"/>
  <c r="B52" i="2" s="1"/>
  <c r="B53" i="2" s="1"/>
  <c r="B58" i="2" s="1"/>
  <c r="B59" i="2" s="1"/>
  <c r="B60" i="2" s="1"/>
  <c r="D46" i="2"/>
</calcChain>
</file>

<file path=xl/sharedStrings.xml><?xml version="1.0" encoding="utf-8"?>
<sst xmlns="http://schemas.openxmlformats.org/spreadsheetml/2006/main" count="557" uniqueCount="354">
  <si>
    <t>Traditional Absorption Costing - Driven by Level of Production</t>
  </si>
  <si>
    <t>Activity Based Costing - Driven by the Activities</t>
  </si>
  <si>
    <t>Assess the;</t>
  </si>
  <si>
    <t>Machenism</t>
  </si>
  <si>
    <t>Cost Rs.</t>
  </si>
  <si>
    <t>Material</t>
  </si>
  <si>
    <t>Direct</t>
  </si>
  <si>
    <t>Qty * Price</t>
  </si>
  <si>
    <t>Labour</t>
  </si>
  <si>
    <t>Hrs * Rate</t>
  </si>
  <si>
    <t>Overhead</t>
  </si>
  <si>
    <t>Indirect</t>
  </si>
  <si>
    <t>Allocate / Apportion / Reapprotion, Reciprocal / Absorb</t>
  </si>
  <si>
    <t>Activities / Drivers / OAR / Absorb</t>
  </si>
  <si>
    <t>Product</t>
  </si>
  <si>
    <t>Why cost?</t>
  </si>
  <si>
    <t>Decide selling price</t>
  </si>
  <si>
    <t>OAR =</t>
  </si>
  <si>
    <t>Budgeted Production OH</t>
  </si>
  <si>
    <t>Budgeted Activity Level</t>
  </si>
  <si>
    <t>Production units</t>
  </si>
  <si>
    <t>Labour hours</t>
  </si>
  <si>
    <t>Machine hours</t>
  </si>
  <si>
    <t>% of material cost</t>
  </si>
  <si>
    <t>% of labour cost</t>
  </si>
  <si>
    <t>% of prime cost</t>
  </si>
  <si>
    <t>Labour intensive</t>
  </si>
  <si>
    <t>Machine Intensive</t>
  </si>
  <si>
    <t>Absorption Costing - History</t>
  </si>
  <si>
    <t>Present Scenario</t>
  </si>
  <si>
    <t xml:space="preserve">Labour </t>
  </si>
  <si>
    <t>Exercise 01</t>
  </si>
  <si>
    <t>a) Absorption costing principals</t>
  </si>
  <si>
    <t>Overhead Absorption Rate (OAR)</t>
  </si>
  <si>
    <t>=</t>
  </si>
  <si>
    <t>Budgeted Production Overhead</t>
  </si>
  <si>
    <t>24,000*1Hrs + 24,000*1.5Hrs</t>
  </si>
  <si>
    <t>Per hour</t>
  </si>
  <si>
    <t>Max</t>
  </si>
  <si>
    <t>Double Max</t>
  </si>
  <si>
    <t>Direct Cost</t>
  </si>
  <si>
    <t>Production overhead</t>
  </si>
  <si>
    <t>Rs.7.2*1Hr</t>
  </si>
  <si>
    <t>Rs.7.2*1.5Hr</t>
  </si>
  <si>
    <t>Production cost per unit</t>
  </si>
  <si>
    <t>b) Activity Based Costing System</t>
  </si>
  <si>
    <t>Step 01 - Identifucation of cost pools</t>
  </si>
  <si>
    <t>Step 02 - Identification of cost driver</t>
  </si>
  <si>
    <t>Step 3 - OAR</t>
  </si>
  <si>
    <t>Cost pool/Activity</t>
  </si>
  <si>
    <t>Rs.</t>
  </si>
  <si>
    <t>Cost driver</t>
  </si>
  <si>
    <t>No. of drivers</t>
  </si>
  <si>
    <t>Setup cost</t>
  </si>
  <si>
    <t>No. of setups</t>
  </si>
  <si>
    <t>(12*1)+(240*3)</t>
  </si>
  <si>
    <t>Special part handling</t>
  </si>
  <si>
    <t>No. of special parts</t>
  </si>
  <si>
    <t>(24,000*1)+(24,000*4)</t>
  </si>
  <si>
    <t>Other material handling</t>
  </si>
  <si>
    <t>No. of batches</t>
  </si>
  <si>
    <t>12+240</t>
  </si>
  <si>
    <t>Order handling</t>
  </si>
  <si>
    <t>No. of orders</t>
  </si>
  <si>
    <t>10+140</t>
  </si>
  <si>
    <t>Other overheads</t>
  </si>
  <si>
    <t>(24,000*1) + (24,000*1.5)</t>
  </si>
  <si>
    <t>Step 4 - Absorb the overhead in to the product</t>
  </si>
  <si>
    <t>100*12</t>
  </si>
  <si>
    <t>100*720</t>
  </si>
  <si>
    <t>0.50*24,000</t>
  </si>
  <si>
    <t>0.50*96,000</t>
  </si>
  <si>
    <t>250*12</t>
  </si>
  <si>
    <t>250*240</t>
  </si>
  <si>
    <t>132*10</t>
  </si>
  <si>
    <t>132*140</t>
  </si>
  <si>
    <t>3.6*24,000</t>
  </si>
  <si>
    <t>3.6*36,000</t>
  </si>
  <si>
    <t>Total overhead abosrbed</t>
  </si>
  <si>
    <t>No.  Of units produce</t>
  </si>
  <si>
    <t>Overhead cost per unit</t>
  </si>
  <si>
    <t>Direct cost</t>
  </si>
  <si>
    <t>C)</t>
  </si>
  <si>
    <t>Unit cost - Absoption</t>
  </si>
  <si>
    <t>Unit cost - ABC</t>
  </si>
  <si>
    <t>Exercise 2</t>
  </si>
  <si>
    <t>A)</t>
  </si>
  <si>
    <t>Step 01 - Identification of activities</t>
  </si>
  <si>
    <t>Step 2 - Identification of cost drivers</t>
  </si>
  <si>
    <t>Step 3 - Calculate OAR / Activity</t>
  </si>
  <si>
    <t>Cost pools/ Activities</t>
  </si>
  <si>
    <t>$</t>
  </si>
  <si>
    <t>Administartive cost</t>
  </si>
  <si>
    <t>Admin time Hrs</t>
  </si>
  <si>
    <t>(14,600*1)+(22,400*1.5)</t>
  </si>
  <si>
    <t>Nursing cost</t>
  </si>
  <si>
    <t>Length of patient stay in Hrs</t>
  </si>
  <si>
    <t>(14,600*24)+(22,400*48)</t>
  </si>
  <si>
    <t>Catering cost</t>
  </si>
  <si>
    <t>No. of meals</t>
  </si>
  <si>
    <t>(14,600*1)+(22,400*4)</t>
  </si>
  <si>
    <t>General facility cost</t>
  </si>
  <si>
    <t>Step 4 - Absorb activity cost into the procedures</t>
  </si>
  <si>
    <t>A</t>
  </si>
  <si>
    <t>B</t>
  </si>
  <si>
    <t>Total $</t>
  </si>
  <si>
    <t>38.8*14,600</t>
  </si>
  <si>
    <t>38.8*33,600</t>
  </si>
  <si>
    <t>38.8*1</t>
  </si>
  <si>
    <t>38.8*1.5</t>
  </si>
  <si>
    <t>4.36*350,400</t>
  </si>
  <si>
    <t>4.36*1,075,200</t>
  </si>
  <si>
    <t>4.36*24</t>
  </si>
  <si>
    <t>4.36*48</t>
  </si>
  <si>
    <t>9.28*14,600</t>
  </si>
  <si>
    <t>9.28*89,600</t>
  </si>
  <si>
    <t>9.28*1</t>
  </si>
  <si>
    <t>9.28*4</t>
  </si>
  <si>
    <t>6*350,400</t>
  </si>
  <si>
    <t>6*1,075,200</t>
  </si>
  <si>
    <t>6*24</t>
  </si>
  <si>
    <t>Total overhead</t>
  </si>
  <si>
    <t>No. of procedures</t>
  </si>
  <si>
    <t>Overhead cost per procedure</t>
  </si>
  <si>
    <t>Step 5 - Calculation of Full cost</t>
  </si>
  <si>
    <t>A $</t>
  </si>
  <si>
    <t>B $</t>
  </si>
  <si>
    <t>Surgical time and materials</t>
  </si>
  <si>
    <t>Aesthesia time and material</t>
  </si>
  <si>
    <t>Overhead cost (S4)</t>
  </si>
  <si>
    <t>Full cost</t>
  </si>
  <si>
    <t>b)</t>
  </si>
  <si>
    <t>Traditional Absorption Method</t>
  </si>
  <si>
    <t>ABC Method</t>
  </si>
  <si>
    <t>Variance</t>
  </si>
  <si>
    <t>Total overhead cost</t>
  </si>
  <si>
    <t>Total cost driven by patient stay</t>
  </si>
  <si>
    <t>(Nursing cost &amp; General)</t>
  </si>
  <si>
    <t>Absorb the cost based on the patient stay instead of no.of procedures</t>
  </si>
  <si>
    <t>Total Overhead</t>
  </si>
  <si>
    <t>No. of patient hrs</t>
  </si>
  <si>
    <t>Overhead cost per patient hours</t>
  </si>
  <si>
    <t>Overhead cost (patient hrs</t>
  </si>
  <si>
    <t>Full cost (traditional - patient hrs)</t>
  </si>
  <si>
    <t>Full cost (ABC)</t>
  </si>
  <si>
    <t>Exercise - 3 Customer Profitability Analysis</t>
  </si>
  <si>
    <t>a) i) No. of packs</t>
  </si>
  <si>
    <t>Rs.Mn</t>
  </si>
  <si>
    <t>Customer B</t>
  </si>
  <si>
    <t>Customer D</t>
  </si>
  <si>
    <t>Factory contribution</t>
  </si>
  <si>
    <t>Sales and Distribution Cost (W1)</t>
  </si>
  <si>
    <t>50,000*1,000/1,000,000</t>
  </si>
  <si>
    <t>27,000*1,000/1,000,000</t>
  </si>
  <si>
    <t>Profitability</t>
  </si>
  <si>
    <t>W1 - Overhead cost per pack</t>
  </si>
  <si>
    <t>Mn.</t>
  </si>
  <si>
    <t>Sales visit</t>
  </si>
  <si>
    <t>Order processing</t>
  </si>
  <si>
    <t>Normal deliveries</t>
  </si>
  <si>
    <t>Urgent Deliveries</t>
  </si>
  <si>
    <t>Total cost</t>
  </si>
  <si>
    <t>Total No. of packs delivered</t>
  </si>
  <si>
    <t>Cost per Pack in Rs.</t>
  </si>
  <si>
    <t>per Pack</t>
  </si>
  <si>
    <t>ii) Activity Based Costing</t>
  </si>
  <si>
    <t>No. of visits</t>
  </si>
  <si>
    <t>No. of normal deliveries</t>
  </si>
  <si>
    <t>No.of urgent deliveries</t>
  </si>
  <si>
    <t>Production contribution</t>
  </si>
  <si>
    <t>250,000*24/1,000,000</t>
  </si>
  <si>
    <t>250,000*12/1,000,000</t>
  </si>
  <si>
    <t>100,000*75/1,000,000</t>
  </si>
  <si>
    <t>100,000*20/1,000,000</t>
  </si>
  <si>
    <t>500,000*45/1,000,000</t>
  </si>
  <si>
    <t>500,000*15/1,000,000</t>
  </si>
  <si>
    <t>2,000,000*5/1,000,000</t>
  </si>
  <si>
    <t>Table 1</t>
  </si>
  <si>
    <t>Labourer</t>
  </si>
  <si>
    <t>Table 2</t>
  </si>
  <si>
    <t>Exercise 04 - Homework</t>
  </si>
  <si>
    <t>a)</t>
  </si>
  <si>
    <t>Customer profitability Rs.000</t>
  </si>
  <si>
    <t>Contribution</t>
  </si>
  <si>
    <t>Customer cost:</t>
  </si>
  <si>
    <t>Sales visits</t>
  </si>
  <si>
    <t>Processing orders</t>
  </si>
  <si>
    <t>Urgent deliveries</t>
  </si>
  <si>
    <t>Profit</t>
  </si>
  <si>
    <t>Step 02 - Identification of cost drivers</t>
  </si>
  <si>
    <t xml:space="preserve">Step 3 - Calculate OAR per activity </t>
  </si>
  <si>
    <t>Cost pool / Activity</t>
  </si>
  <si>
    <t>Rs.000</t>
  </si>
  <si>
    <t>Escalated annual cost</t>
  </si>
  <si>
    <t>Cost drivers</t>
  </si>
  <si>
    <t>OAR per Activity</t>
  </si>
  <si>
    <t>Sales visit to customers</t>
  </si>
  <si>
    <t>Step 4 - Absorb activity cost into the product</t>
  </si>
  <si>
    <t>(250*24)</t>
  </si>
  <si>
    <t>(250*12)</t>
  </si>
  <si>
    <t>(100*75)</t>
  </si>
  <si>
    <t>(100*20)</t>
  </si>
  <si>
    <t>(500*45)</t>
  </si>
  <si>
    <t>(500*15)</t>
  </si>
  <si>
    <t>-</t>
  </si>
  <si>
    <t>(2,000*5)</t>
  </si>
  <si>
    <t>(2,000*0)</t>
  </si>
  <si>
    <t xml:space="preserve">Customer profitability analysis (CPA) provides important information which allows an organisation to determine both which classes of customers it should concentrate on and the prices it should charge. CPA applies the principles of activity-based costing to split customer costs into key activities. 
PNC could improve profitability by considering how it could alter its internal processes to reduce the costs of the key activities. For example, PNC could no longer offer an urgent delivery service to customers. 
The company could also reflect the costs caused by customer behavior by increasing the sales price of the product to yield greater margins.
</t>
  </si>
  <si>
    <t>Question 01</t>
  </si>
  <si>
    <t>Actual 2018</t>
  </si>
  <si>
    <t>Incremental for 2019</t>
  </si>
  <si>
    <t>Budegeted 2019</t>
  </si>
  <si>
    <t>%</t>
  </si>
  <si>
    <t>Customer service</t>
  </si>
  <si>
    <t>No.of customers</t>
  </si>
  <si>
    <t>20,000+12,000+8,000</t>
  </si>
  <si>
    <t>In-store merchantdising</t>
  </si>
  <si>
    <t>No.of inventory items</t>
  </si>
  <si>
    <t>1,000+100+30</t>
  </si>
  <si>
    <t>Warehouse receiving</t>
  </si>
  <si>
    <t>No. of pallets</t>
  </si>
  <si>
    <t>600+120+80</t>
  </si>
  <si>
    <t>Step 4 - Absorb activity cost into the Cloting</t>
  </si>
  <si>
    <t>Clothing</t>
  </si>
  <si>
    <t>157.5*20,000</t>
  </si>
  <si>
    <t>6,272*1,000</t>
  </si>
  <si>
    <t>12,375*600</t>
  </si>
  <si>
    <t>Question 3</t>
  </si>
  <si>
    <t>Estimated Cost</t>
  </si>
  <si>
    <t>Rs. Mn</t>
  </si>
  <si>
    <t>Project supervision</t>
  </si>
  <si>
    <t>No.of  visits</t>
  </si>
  <si>
    <t>Planning and monitoring</t>
  </si>
  <si>
    <t>No. of meetings</t>
  </si>
  <si>
    <t>Labour related OH</t>
  </si>
  <si>
    <t>No. of labour hours</t>
  </si>
  <si>
    <t>EXE</t>
  </si>
  <si>
    <t>WYE</t>
  </si>
  <si>
    <t>15,000*120</t>
  </si>
  <si>
    <t>15,000*250</t>
  </si>
  <si>
    <t>200,000*50</t>
  </si>
  <si>
    <t>200,000*190</t>
  </si>
  <si>
    <t>25*300,000/1,000,000</t>
  </si>
  <si>
    <t>25*1,400,000/1,000,000</t>
  </si>
  <si>
    <t>Commom Site Overhead cost</t>
  </si>
  <si>
    <t>Common site OH Cost</t>
  </si>
  <si>
    <t>Mark-up @ 10%</t>
  </si>
  <si>
    <t>Re-computed selling price</t>
  </si>
  <si>
    <t>Amount quoted initially</t>
  </si>
  <si>
    <t>Discount may be offered</t>
  </si>
  <si>
    <t>Question 4</t>
  </si>
  <si>
    <t>Absorption costing</t>
  </si>
  <si>
    <t>HDD</t>
  </si>
  <si>
    <t>Material Cost</t>
  </si>
  <si>
    <t>Labour cost</t>
  </si>
  <si>
    <t>VOH Cost</t>
  </si>
  <si>
    <t>Production OH Cost</t>
  </si>
  <si>
    <t>30,000,000/500*100/10,000</t>
  </si>
  <si>
    <t>ABC System</t>
  </si>
  <si>
    <t>10,800,000/10,000</t>
  </si>
  <si>
    <t>Step 4 - Absorb to HDD</t>
  </si>
  <si>
    <t>Cost of HDD</t>
  </si>
  <si>
    <t>Material Ordering</t>
  </si>
  <si>
    <t>20%*30Mn</t>
  </si>
  <si>
    <t>No.of  orders</t>
  </si>
  <si>
    <t>Labour releted</t>
  </si>
  <si>
    <t>40%*30Mn</t>
  </si>
  <si>
    <t>Machine related</t>
  </si>
  <si>
    <t>Question 5</t>
  </si>
  <si>
    <t>AH</t>
  </si>
  <si>
    <t>LW</t>
  </si>
  <si>
    <t>(-) Customer cost</t>
  </si>
  <si>
    <t>curtail</t>
  </si>
  <si>
    <t>Sales visit cost</t>
  </si>
  <si>
    <t>Activities</t>
  </si>
  <si>
    <t>Cost. Rs.000</t>
  </si>
  <si>
    <t>Nos.</t>
  </si>
  <si>
    <t>OAR Rs.</t>
  </si>
  <si>
    <t>No. of Sales visit</t>
  </si>
  <si>
    <t>No. of n. deliveries</t>
  </si>
  <si>
    <t>No. of u. deliveries</t>
  </si>
  <si>
    <t>Question 6</t>
  </si>
  <si>
    <t>a) Absorption costing</t>
  </si>
  <si>
    <t>Standard</t>
  </si>
  <si>
    <t>Deluxe</t>
  </si>
  <si>
    <t>Operational OH (W1)</t>
  </si>
  <si>
    <t>Maintenance OH @31%</t>
  </si>
  <si>
    <t>W1 - Operation Overhead</t>
  </si>
  <si>
    <t>Monthly OH cost</t>
  </si>
  <si>
    <t>1,800,000*60%</t>
  </si>
  <si>
    <t>No. of room nights</t>
  </si>
  <si>
    <t>80+50</t>
  </si>
  <si>
    <t>Cost absorbed</t>
  </si>
  <si>
    <t>cost per room night</t>
  </si>
  <si>
    <t>Operational OH (W2)</t>
  </si>
  <si>
    <t>Driver</t>
  </si>
  <si>
    <t>OAR</t>
  </si>
  <si>
    <t>Luggage delivery</t>
  </si>
  <si>
    <t>No. of deliveries</t>
  </si>
  <si>
    <t>Reception and billing</t>
  </si>
  <si>
    <t>No. of bills</t>
  </si>
  <si>
    <t>Restaurent operation</t>
  </si>
  <si>
    <t>No. of KOTs</t>
  </si>
  <si>
    <t>Swimming pool</t>
  </si>
  <si>
    <t>No. of guests</t>
  </si>
  <si>
    <t>Pick up / Drop off</t>
  </si>
  <si>
    <t>No. of up / off</t>
  </si>
  <si>
    <t>Room nights</t>
  </si>
  <si>
    <t>OH Cost per room night</t>
  </si>
  <si>
    <t>Sales\Cost element (per year)</t>
  </si>
  <si>
    <t>Customer sub-group</t>
  </si>
  <si>
    <t>Retired senior and stay-at-home mothers</t>
  </si>
  <si>
    <t>Professional in practice</t>
  </si>
  <si>
    <t>Non-professionals in employment</t>
  </si>
  <si>
    <t>No. of clients</t>
  </si>
  <si>
    <t>Brokering commission @ 12%</t>
  </si>
  <si>
    <t>72*12%</t>
  </si>
  <si>
    <t>48*12%</t>
  </si>
  <si>
    <t>64*12%</t>
  </si>
  <si>
    <t>Selling overheads (ABC) W1</t>
  </si>
  <si>
    <t>Client visit</t>
  </si>
  <si>
    <t>500*2,000</t>
  </si>
  <si>
    <t>100*2,000</t>
  </si>
  <si>
    <t>150*2,000</t>
  </si>
  <si>
    <t>Legal &amp; admin cost</t>
  </si>
  <si>
    <t>300*2,750</t>
  </si>
  <si>
    <t>220*2,750</t>
  </si>
  <si>
    <t>280*2,750</t>
  </si>
  <si>
    <t>Customer inquaries</t>
  </si>
  <si>
    <t>700*1,500</t>
  </si>
  <si>
    <t>150*1,500</t>
  </si>
  <si>
    <t>350*1,500</t>
  </si>
  <si>
    <t>Profit Rs.Mn</t>
  </si>
  <si>
    <t>Net Profit per client Rs.</t>
  </si>
  <si>
    <t>Ranking</t>
  </si>
  <si>
    <t>Cost Rs.Mn</t>
  </si>
  <si>
    <t>No. of visit</t>
  </si>
  <si>
    <t>Legal &amp; admin</t>
  </si>
  <si>
    <t>No. of policies</t>
  </si>
  <si>
    <t>No. of inquaries</t>
  </si>
  <si>
    <t>Strategy 1</t>
  </si>
  <si>
    <t xml:space="preserve">This strategy aims to increase the net profit of the company. The success of it will depend on how much more profit a single customer could create for the company as well as how much more policies could be created by the additional one customer. </t>
  </si>
  <si>
    <t>Existing Profit</t>
  </si>
  <si>
    <t>One time payment</t>
  </si>
  <si>
    <t>Profit / (Loss) per client</t>
  </si>
  <si>
    <t>Total profit / (loss)</t>
  </si>
  <si>
    <t xml:space="preserve">Further, in terms of the policy turnaround per client, the professionals in practice category has the highest turnaround of 2.2. Sales rep pay their full attenion towards the professionals in practice making the portfolio in balance.
</t>
  </si>
  <si>
    <t>No. of policies sold</t>
  </si>
  <si>
    <t>Policy turnaround</t>
  </si>
  <si>
    <t>Strategy 2</t>
  </si>
  <si>
    <t xml:space="preserve">This strategy aims to control the cost of sales agents due to non-value addition of sales agent visits. This policy could reduce unnecessary client visits as they will be reluctant to bear a non-claimable expense. This policy is expected to generate one (01) new policy per each visit. 
</t>
  </si>
  <si>
    <t>No. of clients visited by sales agent</t>
  </si>
  <si>
    <t>No. of policies per visit</t>
  </si>
  <si>
    <t xml:space="preserve">However, applying this strategy could discourage the client base in the retired seniors and stay-athome mothers category. This strategy could bring cost benefits in the short-term. However, in the long-term, CIB must manage the potential business implications such as a reduction of referrals by the retired seniors. Retired seniors mostly refer new clients in the professionals in practice category.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</si>
</sst>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theme="8" tint="-0.249977111117893"/>
      <name val="Calibri"/>
      <family val="2"/>
      <scheme val="minor"/>
    </font>
    <font>
      <b/>
      <u/>
      <sz val="11"/>
      <color theme="1"/>
      <name val="Calibri"/>
      <family val="2"/>
      <scheme val="minor"/>
    </font>
    <font>
      <sz val="11"/>
      <color rgb="FF000000"/>
      <name val="Calibri"/>
      <family val="2"/>
    </font>
    <font>
      <b/>
      <sz val="12"/>
      <color rgb="FF000000"/>
      <name val="Calibri"/>
      <family val="2"/>
    </font>
    <font>
      <b/>
      <u/>
      <sz val="12"/>
      <color rgb="FF000000"/>
      <name val="Calibri"/>
      <family val="2"/>
    </font>
    <font>
      <sz val="12"/>
      <color rgb="FF000000"/>
      <name val="Calibri"/>
      <family val="2"/>
    </font>
    <font>
      <sz val="12"/>
      <color rgb="FFFF0000"/>
      <name val="Calibri"/>
      <family val="2"/>
    </font>
    <font>
      <sz val="12"/>
      <name val="Calibri"/>
      <family val="2"/>
    </font>
    <font>
      <b/>
      <sz val="12"/>
      <color rgb="FFFF0000"/>
      <name val="Calibri"/>
      <family val="2"/>
    </font>
    <font>
      <b/>
      <u/>
      <sz val="11"/>
      <color rgb="FF000000"/>
      <name val="Calibri"/>
      <family val="2"/>
    </font>
    <font>
      <b/>
      <sz val="11"/>
      <color rgb="FF000000"/>
      <name val="Calibri"/>
      <family val="2"/>
    </font>
  </fonts>
  <fills count="15">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249977111117893"/>
        <bgColor indexed="64"/>
      </patternFill>
    </fill>
    <fill>
      <patternFill patternType="solid">
        <fgColor theme="4" tint="0.79998168889431442"/>
        <bgColor indexed="64"/>
      </patternFill>
    </fill>
  </fills>
  <borders count="18">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double">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0" fillId="0" borderId="0" xfId="0" applyAlignment="1">
      <alignment horizontal="right"/>
    </xf>
    <xf numFmtId="0" fontId="2" fillId="0" borderId="0" xfId="0" applyFont="1"/>
    <xf numFmtId="0" fontId="0" fillId="4" borderId="0" xfId="0" applyFill="1"/>
    <xf numFmtId="43" fontId="0" fillId="0" borderId="0" xfId="1" applyFont="1"/>
    <xf numFmtId="9" fontId="0" fillId="0" borderId="0" xfId="0" applyNumberFormat="1"/>
    <xf numFmtId="0" fontId="3" fillId="0" borderId="0" xfId="0" applyFont="1"/>
    <xf numFmtId="0" fontId="0" fillId="0" borderId="0" xfId="0" quotePrefix="1"/>
    <xf numFmtId="43" fontId="2" fillId="0" borderId="3" xfId="1" applyFont="1" applyBorder="1"/>
    <xf numFmtId="0" fontId="0" fillId="0" borderId="2" xfId="0" applyBorder="1" applyAlignment="1">
      <alignment horizontal="left" vertical="center"/>
    </xf>
    <xf numFmtId="0" fontId="0" fillId="0" borderId="0" xfId="0" applyAlignment="1">
      <alignment horizontal="left" vertical="center"/>
    </xf>
    <xf numFmtId="0" fontId="0" fillId="0" borderId="0" xfId="0" applyAlignment="1">
      <alignment horizontal="left"/>
    </xf>
    <xf numFmtId="43" fontId="0" fillId="0" borderId="2" xfId="1" applyFont="1" applyBorder="1" applyAlignment="1">
      <alignment horizontal="left" vertical="center"/>
    </xf>
    <xf numFmtId="43" fontId="0" fillId="0" borderId="2" xfId="1" applyFont="1" applyBorder="1" applyAlignment="1">
      <alignment horizontal="left"/>
    </xf>
    <xf numFmtId="43" fontId="0" fillId="0" borderId="0" xfId="1" applyFont="1" applyAlignment="1">
      <alignment horizontal="left"/>
    </xf>
    <xf numFmtId="43" fontId="2" fillId="0" borderId="3" xfId="1" applyFont="1" applyBorder="1" applyAlignment="1">
      <alignment horizontal="left"/>
    </xf>
    <xf numFmtId="0" fontId="3" fillId="0" borderId="0" xfId="0" applyFont="1" applyAlignment="1">
      <alignment horizontal="right"/>
    </xf>
    <xf numFmtId="43" fontId="0" fillId="0" borderId="0" xfId="0" applyNumberFormat="1"/>
    <xf numFmtId="43" fontId="2" fillId="0" borderId="1" xfId="0" applyNumberFormat="1" applyFont="1" applyBorder="1"/>
    <xf numFmtId="0" fontId="3" fillId="2" borderId="4" xfId="0" applyFont="1" applyFill="1" applyBorder="1"/>
    <xf numFmtId="0" fontId="0" fillId="2" borderId="4" xfId="0" applyFill="1" applyBorder="1"/>
    <xf numFmtId="0" fontId="3" fillId="3" borderId="4" xfId="0" applyFont="1" applyFill="1" applyBorder="1"/>
    <xf numFmtId="0" fontId="0" fillId="3" borderId="4" xfId="0" applyFill="1" applyBorder="1"/>
    <xf numFmtId="0" fontId="0" fillId="2" borderId="4" xfId="0" applyFill="1" applyBorder="1" applyAlignment="1">
      <alignment horizontal="right"/>
    </xf>
    <xf numFmtId="0" fontId="0" fillId="0" borderId="5" xfId="0" applyBorder="1"/>
    <xf numFmtId="43" fontId="0" fillId="0" borderId="5" xfId="1" applyFont="1" applyBorder="1"/>
    <xf numFmtId="0" fontId="0" fillId="0" borderId="6" xfId="0" applyBorder="1"/>
    <xf numFmtId="43" fontId="0" fillId="0" borderId="6" xfId="1" applyFont="1" applyBorder="1"/>
    <xf numFmtId="0" fontId="0" fillId="0" borderId="7" xfId="0" applyBorder="1"/>
    <xf numFmtId="43" fontId="0" fillId="0" borderId="7" xfId="1" applyFont="1" applyBorder="1"/>
    <xf numFmtId="43" fontId="0" fillId="0" borderId="8" xfId="0" applyNumberFormat="1" applyBorder="1"/>
    <xf numFmtId="0" fontId="3" fillId="0" borderId="5" xfId="0" applyFont="1" applyBorder="1"/>
    <xf numFmtId="0" fontId="3" fillId="0" borderId="5" xfId="0" applyFont="1" applyBorder="1" applyAlignment="1">
      <alignment horizontal="right"/>
    </xf>
    <xf numFmtId="43" fontId="0" fillId="0" borderId="6" xfId="1" applyFont="1" applyBorder="1" applyAlignment="1">
      <alignment horizontal="right"/>
    </xf>
    <xf numFmtId="43" fontId="2" fillId="0" borderId="6" xfId="1" applyFont="1" applyBorder="1" applyAlignment="1">
      <alignment horizontal="right"/>
    </xf>
    <xf numFmtId="43" fontId="2" fillId="0" borderId="7" xfId="1" applyFont="1" applyBorder="1" applyAlignment="1">
      <alignment horizontal="right"/>
    </xf>
    <xf numFmtId="43" fontId="4" fillId="0" borderId="1" xfId="0" applyNumberFormat="1" applyFont="1" applyBorder="1"/>
    <xf numFmtId="9" fontId="0" fillId="0" borderId="0" xfId="2" applyFont="1"/>
    <xf numFmtId="0" fontId="0" fillId="8" borderId="0" xfId="0" applyFill="1"/>
    <xf numFmtId="0" fontId="0" fillId="0" borderId="0" xfId="0" applyAlignment="1">
      <alignment wrapText="1"/>
    </xf>
    <xf numFmtId="0" fontId="2" fillId="0" borderId="0" xfId="0" applyFont="1" applyAlignment="1">
      <alignment wrapText="1"/>
    </xf>
    <xf numFmtId="43" fontId="0" fillId="0" borderId="1" xfId="1" applyFont="1" applyBorder="1"/>
    <xf numFmtId="0" fontId="0" fillId="9" borderId="0" xfId="0" applyFill="1"/>
    <xf numFmtId="0" fontId="0" fillId="0" borderId="2" xfId="0" applyBorder="1" applyAlignment="1">
      <alignment horizontal="center"/>
    </xf>
    <xf numFmtId="0" fontId="2" fillId="0" borderId="0" xfId="0" applyFont="1" applyAlignment="1">
      <alignment horizontal="center"/>
    </xf>
    <xf numFmtId="0" fontId="5" fillId="0" borderId="0" xfId="0" applyFont="1" applyAlignment="1">
      <alignment horizontal="left" indent="5"/>
    </xf>
    <xf numFmtId="0" fontId="2" fillId="0" borderId="0" xfId="0" applyFont="1" applyAlignment="1">
      <alignment horizontal="left" indent="5"/>
    </xf>
    <xf numFmtId="0" fontId="3" fillId="10" borderId="5" xfId="0" applyFont="1" applyFill="1" applyBorder="1"/>
    <xf numFmtId="0" fontId="0" fillId="10" borderId="5" xfId="0" applyFill="1" applyBorder="1"/>
    <xf numFmtId="0" fontId="3" fillId="8" borderId="5" xfId="0" applyFont="1" applyFill="1" applyBorder="1"/>
    <xf numFmtId="0" fontId="0" fillId="8" borderId="5" xfId="0" applyFill="1" applyBorder="1"/>
    <xf numFmtId="0" fontId="3" fillId="11" borderId="5" xfId="0" applyFont="1" applyFill="1" applyBorder="1" applyAlignment="1">
      <alignment horizontal="left" wrapText="1"/>
    </xf>
    <xf numFmtId="0" fontId="3" fillId="10" borderId="6" xfId="0" applyFont="1" applyFill="1" applyBorder="1"/>
    <xf numFmtId="0" fontId="3" fillId="10" borderId="6" xfId="0" applyFont="1" applyFill="1" applyBorder="1" applyAlignment="1">
      <alignment horizontal="right"/>
    </xf>
    <xf numFmtId="0" fontId="3" fillId="8" borderId="6" xfId="0" applyFont="1" applyFill="1" applyBorder="1"/>
    <xf numFmtId="0" fontId="0" fillId="8" borderId="6" xfId="0" applyFill="1" applyBorder="1"/>
    <xf numFmtId="0" fontId="3" fillId="11" borderId="6" xfId="0" applyFont="1" applyFill="1" applyBorder="1" applyAlignment="1">
      <alignment horizontal="left" wrapText="1"/>
    </xf>
    <xf numFmtId="0" fontId="3" fillId="4" borderId="9" xfId="0" applyFont="1" applyFill="1" applyBorder="1" applyAlignment="1">
      <alignment wrapText="1"/>
    </xf>
    <xf numFmtId="0" fontId="3" fillId="4" borderId="9" xfId="0" applyFont="1" applyFill="1" applyBorder="1" applyAlignment="1">
      <alignment horizontal="right"/>
    </xf>
    <xf numFmtId="43" fontId="0" fillId="0" borderId="5" xfId="0" applyNumberFormat="1" applyBorder="1" applyAlignment="1">
      <alignment horizontal="right"/>
    </xf>
    <xf numFmtId="0" fontId="2" fillId="0" borderId="6" xfId="0" applyFont="1" applyBorder="1" applyAlignment="1">
      <alignment horizontal="right"/>
    </xf>
    <xf numFmtId="0" fontId="0" fillId="0" borderId="6" xfId="0" applyBorder="1" applyAlignment="1">
      <alignment horizontal="right"/>
    </xf>
    <xf numFmtId="43" fontId="0" fillId="0" borderId="6" xfId="0" applyNumberFormat="1" applyBorder="1" applyAlignment="1">
      <alignment horizontal="right"/>
    </xf>
    <xf numFmtId="0" fontId="2" fillId="0" borderId="7" xfId="0" applyFont="1" applyBorder="1" applyAlignment="1">
      <alignment horizontal="right"/>
    </xf>
    <xf numFmtId="0" fontId="0" fillId="0" borderId="7" xfId="0" applyBorder="1" applyAlignment="1">
      <alignment horizontal="right"/>
    </xf>
    <xf numFmtId="0" fontId="4" fillId="0" borderId="0" xfId="0" applyFont="1"/>
    <xf numFmtId="43" fontId="4" fillId="0" borderId="1" xfId="1" applyFont="1" applyBorder="1"/>
    <xf numFmtId="0" fontId="3" fillId="4" borderId="5" xfId="0" applyFont="1" applyFill="1" applyBorder="1" applyAlignment="1">
      <alignment horizontal="right"/>
    </xf>
    <xf numFmtId="43" fontId="0" fillId="0" borderId="6" xfId="0" applyNumberFormat="1" applyBorder="1"/>
    <xf numFmtId="43" fontId="0" fillId="0" borderId="7" xfId="0" applyNumberFormat="1" applyBorder="1"/>
    <xf numFmtId="43" fontId="4" fillId="0" borderId="3" xfId="0" applyNumberFormat="1" applyFont="1" applyBorder="1"/>
    <xf numFmtId="10" fontId="0" fillId="0" borderId="0" xfId="2" applyNumberFormat="1" applyFont="1"/>
    <xf numFmtId="43" fontId="2" fillId="0" borderId="1" xfId="1" applyFont="1" applyBorder="1"/>
    <xf numFmtId="0" fontId="3" fillId="10" borderId="7" xfId="0" applyFont="1" applyFill="1" applyBorder="1"/>
    <xf numFmtId="0" fontId="3" fillId="10" borderId="7" xfId="0" applyFont="1" applyFill="1" applyBorder="1" applyAlignment="1">
      <alignment horizontal="right"/>
    </xf>
    <xf numFmtId="0" fontId="3" fillId="8" borderId="7" xfId="0" applyFont="1" applyFill="1" applyBorder="1"/>
    <xf numFmtId="0" fontId="0" fillId="12" borderId="0" xfId="0" applyFill="1"/>
    <xf numFmtId="0" fontId="3" fillId="10" borderId="5" xfId="0" applyFont="1" applyFill="1" applyBorder="1" applyAlignment="1">
      <alignment wrapText="1"/>
    </xf>
    <xf numFmtId="9" fontId="0" fillId="0" borderId="5" xfId="1" applyNumberFormat="1" applyFont="1" applyBorder="1"/>
    <xf numFmtId="9" fontId="0" fillId="0" borderId="6" xfId="2" applyFont="1" applyBorder="1"/>
    <xf numFmtId="0" fontId="3" fillId="10" borderId="5" xfId="0" applyFont="1" applyFill="1" applyBorder="1" applyAlignment="1">
      <alignment horizontal="right" wrapText="1"/>
    </xf>
    <xf numFmtId="9" fontId="0" fillId="0" borderId="7" xfId="2" applyFont="1" applyBorder="1"/>
    <xf numFmtId="0" fontId="3" fillId="8" borderId="5" xfId="0" applyFont="1" applyFill="1" applyBorder="1" applyAlignment="1">
      <alignment wrapText="1"/>
    </xf>
    <xf numFmtId="0" fontId="3" fillId="4" borderId="4" xfId="0" applyFont="1" applyFill="1" applyBorder="1" applyAlignment="1">
      <alignment wrapText="1"/>
    </xf>
    <xf numFmtId="0" fontId="3" fillId="4" borderId="4" xfId="0" applyFont="1" applyFill="1" applyBorder="1" applyAlignment="1">
      <alignment horizontal="right"/>
    </xf>
    <xf numFmtId="43" fontId="0" fillId="0" borderId="11" xfId="1" applyFont="1" applyBorder="1"/>
    <xf numFmtId="43" fontId="2" fillId="0" borderId="7" xfId="1" applyFont="1" applyBorder="1" applyAlignment="1">
      <alignment horizontal="right" wrapText="1"/>
    </xf>
    <xf numFmtId="43" fontId="4" fillId="0" borderId="8" xfId="0" applyNumberFormat="1" applyFont="1" applyBorder="1"/>
    <xf numFmtId="0" fontId="3" fillId="13" borderId="0" xfId="0" applyFont="1" applyFill="1" applyAlignment="1">
      <alignment horizontal="right"/>
    </xf>
    <xf numFmtId="43" fontId="2" fillId="0" borderId="0" xfId="0" applyNumberFormat="1" applyFont="1"/>
    <xf numFmtId="43" fontId="0" fillId="0" borderId="2" xfId="1" applyFont="1" applyBorder="1"/>
    <xf numFmtId="3" fontId="0" fillId="0" borderId="0" xfId="0" applyNumberFormat="1"/>
    <xf numFmtId="0" fontId="6" fillId="0" borderId="0" xfId="0" applyFont="1" applyAlignment="1">
      <alignment horizontal="right"/>
    </xf>
    <xf numFmtId="43" fontId="0" fillId="0" borderId="1" xfId="0" applyNumberFormat="1" applyBorder="1"/>
    <xf numFmtId="43" fontId="0" fillId="0" borderId="3" xfId="0" applyNumberFormat="1" applyBorder="1"/>
    <xf numFmtId="9" fontId="0" fillId="0" borderId="6" xfId="0" applyNumberFormat="1" applyBorder="1"/>
    <xf numFmtId="9" fontId="0" fillId="0" borderId="7" xfId="0" applyNumberFormat="1" applyBorder="1"/>
    <xf numFmtId="0" fontId="0" fillId="4" borderId="6" xfId="0" applyFill="1" applyBorder="1"/>
    <xf numFmtId="0" fontId="3" fillId="4" borderId="0" xfId="0" applyFont="1" applyFill="1" applyAlignment="1">
      <alignment horizontal="right"/>
    </xf>
    <xf numFmtId="43" fontId="0" fillId="4" borderId="0" xfId="1" applyFont="1" applyFill="1"/>
    <xf numFmtId="43" fontId="0" fillId="4" borderId="0" xfId="0" applyNumberFormat="1" applyFill="1"/>
    <xf numFmtId="43" fontId="3" fillId="4" borderId="2" xfId="0" applyNumberFormat="1" applyFont="1" applyFill="1" applyBorder="1"/>
    <xf numFmtId="43" fontId="4" fillId="4" borderId="3" xfId="0" applyNumberFormat="1" applyFont="1" applyFill="1" applyBorder="1"/>
    <xf numFmtId="43" fontId="4" fillId="0" borderId="0" xfId="0" applyNumberFormat="1" applyFont="1"/>
    <xf numFmtId="43" fontId="3" fillId="0" borderId="0" xfId="0" applyNumberFormat="1" applyFont="1"/>
    <xf numFmtId="0" fontId="3" fillId="0" borderId="4" xfId="0" applyFont="1" applyBorder="1"/>
    <xf numFmtId="0" fontId="3" fillId="0" borderId="4" xfId="0" applyFont="1" applyBorder="1" applyAlignment="1">
      <alignment horizontal="right"/>
    </xf>
    <xf numFmtId="0" fontId="7" fillId="0" borderId="5" xfId="0" applyFont="1" applyBorder="1" applyAlignment="1">
      <alignment vertical="center"/>
    </xf>
    <xf numFmtId="43" fontId="7" fillId="0" borderId="5" xfId="1" applyFont="1" applyBorder="1" applyAlignment="1">
      <alignment horizontal="right" vertical="center"/>
    </xf>
    <xf numFmtId="0" fontId="7" fillId="0" borderId="6" xfId="0" applyFont="1" applyBorder="1" applyAlignment="1">
      <alignment vertical="center"/>
    </xf>
    <xf numFmtId="43" fontId="7" fillId="0" borderId="6" xfId="1" applyFont="1" applyBorder="1" applyAlignment="1">
      <alignment horizontal="right" vertical="center"/>
    </xf>
    <xf numFmtId="0" fontId="7" fillId="0" borderId="7" xfId="0" applyFont="1" applyBorder="1" applyAlignment="1">
      <alignment vertical="center"/>
    </xf>
    <xf numFmtId="43" fontId="7" fillId="0" borderId="7" xfId="1" applyFont="1" applyBorder="1" applyAlignment="1">
      <alignment horizontal="right" vertical="center"/>
    </xf>
    <xf numFmtId="43" fontId="0" fillId="0" borderId="3" xfId="1" applyFont="1" applyBorder="1"/>
    <xf numFmtId="0" fontId="7" fillId="0" borderId="0" xfId="0" applyFont="1" applyAlignment="1">
      <alignment vertical="center"/>
    </xf>
    <xf numFmtId="0" fontId="8" fillId="0" borderId="0" xfId="0" applyFont="1" applyAlignment="1">
      <alignment horizontal="right" vertical="center" wrapText="1"/>
    </xf>
    <xf numFmtId="0" fontId="9" fillId="0" borderId="0" xfId="0" applyFont="1" applyAlignment="1">
      <alignment horizontal="left" vertical="center" wrapText="1"/>
    </xf>
    <xf numFmtId="0" fontId="9" fillId="0" borderId="0" xfId="0" applyFon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1" fillId="0" borderId="0" xfId="0" applyFont="1" applyAlignment="1">
      <alignment horizontal="right" vertical="center"/>
    </xf>
    <xf numFmtId="0" fontId="9" fillId="0" borderId="0" xfId="0" applyFont="1" applyAlignment="1">
      <alignment vertical="center" wrapText="1"/>
    </xf>
    <xf numFmtId="43" fontId="12" fillId="0" borderId="0" xfId="0" applyNumberFormat="1" applyFont="1" applyAlignment="1">
      <alignment horizontal="right" vertical="center"/>
    </xf>
    <xf numFmtId="0" fontId="10" fillId="0" borderId="0" xfId="0" applyFont="1" applyAlignment="1">
      <alignment horizontal="left" vertical="center"/>
    </xf>
    <xf numFmtId="43" fontId="10" fillId="0" borderId="0" xfId="0" applyNumberFormat="1" applyFont="1" applyAlignment="1">
      <alignment horizontal="right" vertical="center"/>
    </xf>
    <xf numFmtId="0" fontId="13" fillId="14" borderId="0" xfId="0" applyFont="1" applyFill="1" applyAlignment="1">
      <alignment vertical="center" wrapText="1"/>
    </xf>
    <xf numFmtId="43" fontId="4" fillId="14" borderId="0" xfId="0" applyNumberFormat="1" applyFont="1" applyFill="1"/>
    <xf numFmtId="0" fontId="14" fillId="0" borderId="0" xfId="0" applyFont="1" applyAlignment="1">
      <alignment vertical="center"/>
    </xf>
    <xf numFmtId="0" fontId="4" fillId="0" borderId="0" xfId="0" applyFont="1" applyAlignment="1">
      <alignment horizontal="right" wrapText="1"/>
    </xf>
    <xf numFmtId="0" fontId="11" fillId="0" borderId="0" xfId="0" applyFont="1" applyAlignment="1">
      <alignment horizontal="left" vertical="center" wrapText="1"/>
    </xf>
    <xf numFmtId="43" fontId="2" fillId="0" borderId="0" xfId="1" applyFont="1"/>
    <xf numFmtId="0" fontId="11" fillId="0" borderId="0" xfId="0" applyFont="1" applyAlignment="1">
      <alignment horizontal="right" vertical="center" wrapText="1"/>
    </xf>
    <xf numFmtId="0" fontId="13" fillId="0" borderId="0" xfId="0" applyFont="1" applyAlignment="1">
      <alignment horizontal="right" vertical="center" wrapText="1"/>
    </xf>
    <xf numFmtId="0" fontId="11" fillId="0" borderId="0" xfId="0" applyFont="1" applyAlignment="1">
      <alignment vertical="center" wrapText="1"/>
    </xf>
    <xf numFmtId="0" fontId="10" fillId="0" borderId="0" xfId="0" applyFont="1" applyAlignment="1">
      <alignment horizontal="right" vertical="center"/>
    </xf>
    <xf numFmtId="0" fontId="15" fillId="0" borderId="4" xfId="0" applyFont="1" applyBorder="1" applyAlignment="1">
      <alignment vertical="center"/>
    </xf>
    <xf numFmtId="0" fontId="15" fillId="0" borderId="12" xfId="0" applyFont="1" applyBorder="1" applyAlignment="1">
      <alignment horizontal="right" vertical="center"/>
    </xf>
    <xf numFmtId="0" fontId="7" fillId="0" borderId="10" xfId="0" applyFont="1" applyBorder="1" applyAlignment="1">
      <alignment vertical="center"/>
    </xf>
    <xf numFmtId="0" fontId="7" fillId="0" borderId="13" xfId="0" applyFont="1" applyBorder="1" applyAlignment="1">
      <alignment horizontal="right" vertical="center"/>
    </xf>
    <xf numFmtId="0" fontId="7" fillId="0" borderId="13" xfId="0" applyFont="1" applyBorder="1" applyAlignment="1">
      <alignment vertical="center"/>
    </xf>
    <xf numFmtId="0" fontId="15" fillId="0" borderId="10" xfId="0" applyFont="1" applyBorder="1" applyAlignment="1">
      <alignment vertical="center"/>
    </xf>
    <xf numFmtId="0" fontId="15" fillId="0" borderId="13" xfId="0" applyFont="1" applyBorder="1" applyAlignment="1">
      <alignment horizontal="right" vertical="center"/>
    </xf>
    <xf numFmtId="0" fontId="15" fillId="0" borderId="13" xfId="0" applyFont="1" applyBorder="1" applyAlignment="1">
      <alignment vertical="center"/>
    </xf>
    <xf numFmtId="0" fontId="15" fillId="0" borderId="13" xfId="0" applyFont="1" applyBorder="1" applyAlignment="1">
      <alignment horizontal="right" vertical="center" wrapText="1"/>
    </xf>
    <xf numFmtId="3" fontId="7" fillId="0" borderId="13" xfId="0" applyNumberFormat="1" applyFont="1" applyBorder="1" applyAlignment="1">
      <alignment horizontal="right" vertical="center"/>
    </xf>
    <xf numFmtId="4" fontId="7" fillId="0" borderId="13" xfId="0" applyNumberFormat="1" applyFont="1" applyBorder="1" applyAlignment="1">
      <alignment horizontal="right" vertical="center"/>
    </xf>
    <xf numFmtId="4" fontId="7" fillId="0" borderId="0" xfId="0" applyNumberFormat="1" applyFont="1" applyAlignment="1">
      <alignment horizontal="right" vertical="center"/>
    </xf>
    <xf numFmtId="0" fontId="0" fillId="0" borderId="13" xfId="0" applyBorder="1"/>
    <xf numFmtId="0" fontId="3" fillId="5" borderId="0" xfId="0" applyFont="1" applyFill="1" applyAlignment="1">
      <alignment horizontal="center"/>
    </xf>
    <xf numFmtId="0" fontId="4" fillId="7" borderId="0" xfId="0" applyFont="1" applyFill="1" applyAlignment="1">
      <alignment horizontal="center"/>
    </xf>
    <xf numFmtId="0" fontId="0" fillId="0" borderId="0" xfId="0" quotePrefix="1" applyAlignment="1">
      <alignment horizontal="center" vertical="center"/>
    </xf>
    <xf numFmtId="0" fontId="0" fillId="0" borderId="0" xfId="0" applyAlignment="1">
      <alignment horizontal="center" vertical="center"/>
    </xf>
    <xf numFmtId="0" fontId="3" fillId="6" borderId="9" xfId="0" applyFont="1" applyFill="1" applyBorder="1" applyAlignment="1">
      <alignment horizontal="left" vertical="center"/>
    </xf>
    <xf numFmtId="0" fontId="3" fillId="6" borderId="10" xfId="0" applyFont="1" applyFill="1" applyBorder="1" applyAlignment="1">
      <alignment horizontal="left" vertical="center"/>
    </xf>
    <xf numFmtId="0" fontId="3" fillId="11" borderId="5" xfId="0" applyFont="1" applyFill="1" applyBorder="1" applyAlignment="1">
      <alignment horizontal="left" wrapText="1"/>
    </xf>
    <xf numFmtId="0" fontId="3" fillId="11" borderId="6" xfId="0" applyFont="1" applyFill="1" applyBorder="1" applyAlignment="1">
      <alignment horizontal="left" wrapText="1"/>
    </xf>
    <xf numFmtId="0" fontId="3" fillId="11" borderId="7" xfId="0" applyFont="1" applyFill="1" applyBorder="1" applyAlignment="1">
      <alignment horizontal="left" wrapText="1"/>
    </xf>
    <xf numFmtId="0" fontId="15" fillId="0" borderId="14"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vertical="center"/>
    </xf>
    <xf numFmtId="0" fontId="15" fillId="0" borderId="17" xfId="0" applyFont="1" applyBorder="1" applyAlignment="1">
      <alignment vertical="center"/>
    </xf>
    <xf numFmtId="0" fontId="0" fillId="0" borderId="0" xfId="0" applyAlignment="1">
      <alignment horizontal="left" wrapText="1"/>
    </xf>
    <xf numFmtId="0" fontId="0" fillId="8" borderId="9" xfId="0" applyFill="1" applyBorder="1" applyAlignment="1">
      <alignment horizontal="center"/>
    </xf>
    <xf numFmtId="0" fontId="0" fillId="8" borderId="10" xfId="0" applyFill="1" applyBorder="1" applyAlignment="1">
      <alignment horizontal="center"/>
    </xf>
    <xf numFmtId="0" fontId="3" fillId="4" borderId="5" xfId="0" applyFont="1" applyFill="1" applyBorder="1" applyAlignment="1">
      <alignment horizontal="center"/>
    </xf>
    <xf numFmtId="0" fontId="0" fillId="0" borderId="0" xfId="0" applyAlignment="1">
      <alignment horizontal="justify" vertical="justify" wrapText="1"/>
    </xf>
    <xf numFmtId="0" fontId="0" fillId="0" borderId="0" xfId="0" applyAlignment="1">
      <alignment horizontal="justify" vertical="justify"/>
    </xf>
    <xf numFmtId="0" fontId="8" fillId="0" borderId="0" xfId="0" applyFont="1" applyAlignment="1">
      <alignment horizontal="center" vertical="center" wrapText="1"/>
    </xf>
    <xf numFmtId="0" fontId="8"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380996</xdr:colOff>
      <xdr:row>17</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180971</xdr:colOff>
      <xdr:row>19</xdr:row>
      <xdr:rowOff>95250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285746</xdr:colOff>
      <xdr:row>16</xdr:row>
      <xdr:rowOff>142875</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171446</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123821</xdr:colOff>
      <xdr:row>18</xdr:row>
      <xdr:rowOff>66675</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561971</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247646</xdr:colOff>
      <xdr:row>16</xdr:row>
      <xdr:rowOff>161925</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457196</xdr:colOff>
      <xdr:row>17</xdr:row>
      <xdr:rowOff>19050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333371</xdr:colOff>
      <xdr:row>15</xdr:row>
      <xdr:rowOff>28575</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247646</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123821</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5"/>
  <sheetViews>
    <sheetView workbookViewId="0">
      <selection activeCell="F19" sqref="F19"/>
    </sheetView>
  </sheetViews>
  <sheetFormatPr defaultRowHeight="15" x14ac:dyDescent="0.25"/>
  <cols>
    <col min="1" max="1" width="12.28515625" customWidth="1"/>
    <col min="3" max="3" width="25.7109375" customWidth="1"/>
    <col min="4" max="4" width="27.42578125" customWidth="1"/>
    <col min="6" max="6" width="10.85546875" bestFit="1" customWidth="1"/>
    <col min="7" max="7" width="7.85546875" bestFit="1" customWidth="1"/>
    <col min="8" max="8" width="19.28515625" bestFit="1" customWidth="1"/>
    <col min="9" max="9" width="18.5703125" bestFit="1" customWidth="1"/>
  </cols>
  <sheetData>
    <row r="3" spans="1:9" x14ac:dyDescent="0.25">
      <c r="A3" s="149" t="s">
        <v>0</v>
      </c>
      <c r="B3" s="149"/>
      <c r="C3" s="149"/>
      <c r="D3" s="149"/>
      <c r="F3" s="150" t="s">
        <v>1</v>
      </c>
      <c r="G3" s="150"/>
      <c r="H3" s="150"/>
      <c r="I3" s="150"/>
    </row>
    <row r="5" spans="1:9" x14ac:dyDescent="0.25">
      <c r="A5" t="s">
        <v>2</v>
      </c>
      <c r="C5" t="s">
        <v>3</v>
      </c>
      <c r="D5" s="1" t="s">
        <v>4</v>
      </c>
      <c r="F5" t="s">
        <v>2</v>
      </c>
      <c r="H5" t="s">
        <v>3</v>
      </c>
      <c r="I5" s="1" t="s">
        <v>4</v>
      </c>
    </row>
    <row r="7" spans="1:9" x14ac:dyDescent="0.25">
      <c r="A7" s="3" t="s">
        <v>5</v>
      </c>
      <c r="B7" t="s">
        <v>6</v>
      </c>
      <c r="C7" t="s">
        <v>7</v>
      </c>
      <c r="D7" s="4">
        <v>150</v>
      </c>
      <c r="F7" s="3" t="s">
        <v>5</v>
      </c>
      <c r="G7" t="s">
        <v>6</v>
      </c>
      <c r="H7" t="s">
        <v>7</v>
      </c>
      <c r="I7" s="4">
        <v>150</v>
      </c>
    </row>
    <row r="8" spans="1:9" x14ac:dyDescent="0.25">
      <c r="D8" s="4"/>
      <c r="I8" s="4"/>
    </row>
    <row r="9" spans="1:9" x14ac:dyDescent="0.25">
      <c r="A9" s="3" t="s">
        <v>8</v>
      </c>
      <c r="B9" t="s">
        <v>6</v>
      </c>
      <c r="C9" t="s">
        <v>9</v>
      </c>
      <c r="D9" s="4">
        <v>100</v>
      </c>
      <c r="F9" s="3" t="s">
        <v>8</v>
      </c>
      <c r="G9" t="s">
        <v>6</v>
      </c>
      <c r="H9" t="s">
        <v>9</v>
      </c>
      <c r="I9" s="4">
        <v>100</v>
      </c>
    </row>
    <row r="10" spans="1:9" x14ac:dyDescent="0.25">
      <c r="D10" s="4"/>
      <c r="I10" s="4"/>
    </row>
    <row r="11" spans="1:9" ht="45" x14ac:dyDescent="0.25">
      <c r="A11" s="38" t="s">
        <v>10</v>
      </c>
      <c r="B11" t="s">
        <v>11</v>
      </c>
      <c r="C11" s="39" t="s">
        <v>12</v>
      </c>
      <c r="D11" s="4">
        <v>120</v>
      </c>
      <c r="F11" s="38" t="s">
        <v>10</v>
      </c>
      <c r="G11" t="s">
        <v>11</v>
      </c>
      <c r="H11" s="40" t="s">
        <v>13</v>
      </c>
      <c r="I11" s="4">
        <v>90</v>
      </c>
    </row>
    <row r="12" spans="1:9" x14ac:dyDescent="0.25">
      <c r="D12" s="4"/>
      <c r="I12" s="4"/>
    </row>
    <row r="13" spans="1:9" ht="15.75" thickBot="1" x14ac:dyDescent="0.3">
      <c r="A13" t="s">
        <v>14</v>
      </c>
      <c r="D13" s="41">
        <f>SUM(D7:D12)</f>
        <v>370</v>
      </c>
      <c r="F13" t="s">
        <v>14</v>
      </c>
      <c r="I13" s="41">
        <f>SUM(I7:I12)</f>
        <v>340</v>
      </c>
    </row>
    <row r="14" spans="1:9" ht="15.75" thickTop="1" x14ac:dyDescent="0.25"/>
    <row r="15" spans="1:9" x14ac:dyDescent="0.25">
      <c r="D15" t="s">
        <v>15</v>
      </c>
      <c r="I15" t="s">
        <v>15</v>
      </c>
    </row>
    <row r="17" spans="3:9" x14ac:dyDescent="0.25">
      <c r="D17" s="42" t="s">
        <v>16</v>
      </c>
      <c r="I17" s="42" t="s">
        <v>16</v>
      </c>
    </row>
    <row r="20" spans="3:9" x14ac:dyDescent="0.25">
      <c r="C20" t="s">
        <v>17</v>
      </c>
      <c r="D20" s="43" t="s">
        <v>18</v>
      </c>
    </row>
    <row r="21" spans="3:9" x14ac:dyDescent="0.25">
      <c r="D21" s="44" t="s">
        <v>19</v>
      </c>
    </row>
    <row r="23" spans="3:9" x14ac:dyDescent="0.25">
      <c r="D23" s="45" t="s">
        <v>20</v>
      </c>
    </row>
    <row r="24" spans="3:9" x14ac:dyDescent="0.25">
      <c r="D24" s="45" t="s">
        <v>21</v>
      </c>
    </row>
    <row r="25" spans="3:9" x14ac:dyDescent="0.25">
      <c r="D25" s="45" t="s">
        <v>22</v>
      </c>
    </row>
    <row r="26" spans="3:9" x14ac:dyDescent="0.25">
      <c r="D26" s="45" t="s">
        <v>23</v>
      </c>
    </row>
    <row r="27" spans="3:9" x14ac:dyDescent="0.25">
      <c r="D27" s="45" t="s">
        <v>24</v>
      </c>
    </row>
    <row r="28" spans="3:9" x14ac:dyDescent="0.25">
      <c r="D28" s="45" t="s">
        <v>25</v>
      </c>
    </row>
    <row r="30" spans="3:9" x14ac:dyDescent="0.25">
      <c r="D30" s="46" t="s">
        <v>26</v>
      </c>
      <c r="H30" s="2" t="s">
        <v>27</v>
      </c>
    </row>
    <row r="31" spans="3:9" x14ac:dyDescent="0.25">
      <c r="D31" s="45" t="s">
        <v>28</v>
      </c>
      <c r="H31" t="s">
        <v>29</v>
      </c>
    </row>
    <row r="32" spans="3:9" x14ac:dyDescent="0.25">
      <c r="C32" t="s">
        <v>5</v>
      </c>
      <c r="D32" s="5">
        <v>0.5</v>
      </c>
      <c r="H32" s="5">
        <v>0.5</v>
      </c>
    </row>
    <row r="33" spans="3:8" x14ac:dyDescent="0.25">
      <c r="C33" t="s">
        <v>30</v>
      </c>
      <c r="D33" s="5">
        <v>0.4</v>
      </c>
      <c r="H33" s="5">
        <v>0.15</v>
      </c>
    </row>
    <row r="34" spans="3:8" x14ac:dyDescent="0.25">
      <c r="C34" t="s">
        <v>10</v>
      </c>
      <c r="D34" s="5">
        <v>0.1</v>
      </c>
      <c r="H34" s="5">
        <v>0.35</v>
      </c>
    </row>
    <row r="35" spans="3:8" x14ac:dyDescent="0.25">
      <c r="D35" s="5">
        <f>SUM(D32:D34)</f>
        <v>1</v>
      </c>
      <c r="H35" s="5">
        <f>SUM(H32:H34)</f>
        <v>1</v>
      </c>
    </row>
  </sheetData>
  <mergeCells count="2">
    <mergeCell ref="A3:D3"/>
    <mergeCell ref="F3:I3"/>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workbookViewId="0">
      <selection activeCell="F22" sqref="F22"/>
    </sheetView>
  </sheetViews>
  <sheetFormatPr defaultRowHeight="15" x14ac:dyDescent="0.25"/>
  <cols>
    <col min="1" max="1" width="27.5703125" customWidth="1"/>
    <col min="2" max="2" width="17.85546875" bestFit="1" customWidth="1"/>
    <col min="3" max="3" width="16.140625" customWidth="1"/>
    <col min="4" max="4" width="18.42578125" bestFit="1" customWidth="1"/>
    <col min="5" max="5" width="9.5703125" bestFit="1" customWidth="1"/>
    <col min="6" max="6" width="10.5703125" customWidth="1"/>
    <col min="7" max="7" width="13.28515625" bestFit="1" customWidth="1"/>
    <col min="9" max="9" width="11.5703125" bestFit="1" customWidth="1"/>
  </cols>
  <sheetData>
    <row r="2" spans="1:4" x14ac:dyDescent="0.25">
      <c r="A2" s="6" t="s">
        <v>281</v>
      </c>
    </row>
    <row r="4" spans="1:4" x14ac:dyDescent="0.25">
      <c r="A4" s="6" t="s">
        <v>282</v>
      </c>
    </row>
    <row r="6" spans="1:4" x14ac:dyDescent="0.25">
      <c r="B6" s="16" t="s">
        <v>283</v>
      </c>
      <c r="C6" s="16" t="s">
        <v>284</v>
      </c>
    </row>
    <row r="7" spans="1:4" x14ac:dyDescent="0.25">
      <c r="A7" t="s">
        <v>81</v>
      </c>
      <c r="B7" s="4">
        <v>12500</v>
      </c>
      <c r="C7" s="4">
        <v>17000</v>
      </c>
    </row>
    <row r="8" spans="1:4" x14ac:dyDescent="0.25">
      <c r="A8" t="s">
        <v>285</v>
      </c>
      <c r="B8" s="17">
        <f>+C15</f>
        <v>8307.6923076923085</v>
      </c>
      <c r="C8" s="17">
        <f>+C15</f>
        <v>8307.6923076923085</v>
      </c>
    </row>
    <row r="9" spans="1:4" x14ac:dyDescent="0.25">
      <c r="A9" t="s">
        <v>286</v>
      </c>
      <c r="B9" s="17">
        <f>B7*0.31</f>
        <v>3875</v>
      </c>
      <c r="C9" s="17">
        <f>C7*0.31</f>
        <v>5270</v>
      </c>
    </row>
    <row r="10" spans="1:4" x14ac:dyDescent="0.25">
      <c r="A10" s="65" t="s">
        <v>161</v>
      </c>
      <c r="B10" s="103">
        <f>SUM(B7:B9)</f>
        <v>24682.692307692309</v>
      </c>
      <c r="C10" s="103">
        <f>SUM(C7:C9)</f>
        <v>30577.692307692309</v>
      </c>
    </row>
    <row r="12" spans="1:4" x14ac:dyDescent="0.25">
      <c r="A12" t="s">
        <v>287</v>
      </c>
    </row>
    <row r="13" spans="1:4" x14ac:dyDescent="0.25">
      <c r="A13" t="s">
        <v>288</v>
      </c>
      <c r="B13" t="s">
        <v>289</v>
      </c>
      <c r="C13" s="4">
        <f>1800000*0.6</f>
        <v>1080000</v>
      </c>
    </row>
    <row r="14" spans="1:4" x14ac:dyDescent="0.25">
      <c r="A14" t="s">
        <v>290</v>
      </c>
      <c r="B14" t="s">
        <v>291</v>
      </c>
      <c r="C14" s="4">
        <v>130</v>
      </c>
    </row>
    <row r="15" spans="1:4" x14ac:dyDescent="0.25">
      <c r="A15" t="s">
        <v>292</v>
      </c>
      <c r="C15" s="4">
        <f>C13/C14</f>
        <v>8307.6923076923085</v>
      </c>
      <c r="D15" t="s">
        <v>293</v>
      </c>
    </row>
    <row r="18" spans="1:9" x14ac:dyDescent="0.25">
      <c r="A18" s="6" t="s">
        <v>258</v>
      </c>
    </row>
    <row r="20" spans="1:9" x14ac:dyDescent="0.25">
      <c r="B20" s="16" t="s">
        <v>283</v>
      </c>
      <c r="C20" s="16" t="s">
        <v>284</v>
      </c>
    </row>
    <row r="21" spans="1:9" x14ac:dyDescent="0.25">
      <c r="A21" t="s">
        <v>81</v>
      </c>
      <c r="B21" s="4">
        <v>12500</v>
      </c>
      <c r="C21" s="4">
        <v>17000</v>
      </c>
    </row>
    <row r="22" spans="1:9" x14ac:dyDescent="0.25">
      <c r="A22" t="s">
        <v>294</v>
      </c>
      <c r="B22" s="17">
        <f>+G35</f>
        <v>13821.37501874344</v>
      </c>
      <c r="C22" s="17">
        <f>+I35</f>
        <v>13885.799970010497</v>
      </c>
    </row>
    <row r="23" spans="1:9" x14ac:dyDescent="0.25">
      <c r="A23" t="s">
        <v>286</v>
      </c>
      <c r="B23" s="17"/>
      <c r="C23" s="17"/>
    </row>
    <row r="24" spans="1:9" x14ac:dyDescent="0.25">
      <c r="A24" s="65" t="s">
        <v>161</v>
      </c>
      <c r="B24" s="103">
        <f>SUM(B21:B23)</f>
        <v>26321.375018743442</v>
      </c>
      <c r="C24" s="103">
        <f>SUM(C21:C23)</f>
        <v>30885.799970010499</v>
      </c>
    </row>
    <row r="27" spans="1:9" x14ac:dyDescent="0.25">
      <c r="A27" s="6" t="s">
        <v>274</v>
      </c>
      <c r="B27" s="16" t="s">
        <v>4</v>
      </c>
      <c r="C27" s="6" t="s">
        <v>295</v>
      </c>
      <c r="D27" s="6" t="s">
        <v>276</v>
      </c>
      <c r="E27" s="6" t="s">
        <v>296</v>
      </c>
      <c r="G27" s="16" t="s">
        <v>283</v>
      </c>
      <c r="H27" s="1"/>
      <c r="I27" s="16" t="s">
        <v>284</v>
      </c>
    </row>
    <row r="28" spans="1:9" x14ac:dyDescent="0.25">
      <c r="A28" t="s">
        <v>297</v>
      </c>
      <c r="B28" s="4">
        <v>50000</v>
      </c>
      <c r="C28" t="s">
        <v>298</v>
      </c>
      <c r="D28">
        <v>190</v>
      </c>
      <c r="E28" s="17">
        <f>B28/D28</f>
        <v>263.15789473684208</v>
      </c>
      <c r="F28">
        <v>120</v>
      </c>
      <c r="G28" s="17">
        <f>E28*F28</f>
        <v>31578.94736842105</v>
      </c>
      <c r="H28">
        <v>70</v>
      </c>
      <c r="I28" s="17">
        <f>E28*H28</f>
        <v>18421.052631578947</v>
      </c>
    </row>
    <row r="29" spans="1:9" x14ac:dyDescent="0.25">
      <c r="A29" t="s">
        <v>299</v>
      </c>
      <c r="B29" s="4">
        <v>350000</v>
      </c>
      <c r="C29" t="s">
        <v>300</v>
      </c>
      <c r="D29">
        <v>130</v>
      </c>
      <c r="E29" s="17">
        <f t="shared" ref="E29:E32" si="0">B29/D29</f>
        <v>2692.3076923076924</v>
      </c>
      <c r="F29">
        <v>80</v>
      </c>
      <c r="G29" s="17">
        <f>E29*F29</f>
        <v>215384.61538461538</v>
      </c>
      <c r="H29">
        <v>50</v>
      </c>
      <c r="I29" s="17">
        <f>E29*H29</f>
        <v>134615.38461538462</v>
      </c>
    </row>
    <row r="30" spans="1:9" x14ac:dyDescent="0.25">
      <c r="A30" t="s">
        <v>301</v>
      </c>
      <c r="B30" s="4">
        <v>800000</v>
      </c>
      <c r="C30" t="s">
        <v>302</v>
      </c>
      <c r="D30">
        <v>120</v>
      </c>
      <c r="E30" s="17">
        <f t="shared" si="0"/>
        <v>6666.666666666667</v>
      </c>
      <c r="F30">
        <v>75</v>
      </c>
      <c r="G30" s="17">
        <f>E30*F30</f>
        <v>500000</v>
      </c>
      <c r="H30">
        <v>45</v>
      </c>
      <c r="I30" s="17">
        <f>E30*H30</f>
        <v>300000</v>
      </c>
    </row>
    <row r="31" spans="1:9" x14ac:dyDescent="0.25">
      <c r="A31" t="s">
        <v>303</v>
      </c>
      <c r="B31" s="4">
        <v>460000</v>
      </c>
      <c r="C31" t="s">
        <v>304</v>
      </c>
      <c r="D31">
        <v>270</v>
      </c>
      <c r="E31" s="17">
        <f t="shared" si="0"/>
        <v>1703.7037037037037</v>
      </c>
      <c r="F31">
        <v>160</v>
      </c>
      <c r="G31" s="17">
        <f>E31*F31</f>
        <v>272592.59259259258</v>
      </c>
      <c r="H31">
        <v>110</v>
      </c>
      <c r="I31" s="17">
        <f>E31*H31</f>
        <v>187407.40740740742</v>
      </c>
    </row>
    <row r="32" spans="1:9" x14ac:dyDescent="0.25">
      <c r="A32" t="s">
        <v>305</v>
      </c>
      <c r="B32" s="4">
        <v>140000</v>
      </c>
      <c r="C32" t="s">
        <v>306</v>
      </c>
      <c r="D32">
        <v>195</v>
      </c>
      <c r="E32" s="17">
        <f t="shared" si="0"/>
        <v>717.9487179487179</v>
      </c>
      <c r="F32">
        <v>120</v>
      </c>
      <c r="G32" s="17">
        <f>E32*F32</f>
        <v>86153.846153846142</v>
      </c>
      <c r="H32">
        <v>75</v>
      </c>
      <c r="I32" s="17">
        <f>E32*H32</f>
        <v>53846.153846153844</v>
      </c>
    </row>
    <row r="33" spans="2:9" x14ac:dyDescent="0.25">
      <c r="B33" s="17">
        <f>SUM(B28:B32)</f>
        <v>1800000</v>
      </c>
      <c r="G33" s="104">
        <f>SUM(G28:G32)</f>
        <v>1105710.0014994752</v>
      </c>
      <c r="H33" s="6"/>
      <c r="I33" s="104">
        <f>SUM(I28:I32)</f>
        <v>694289.9985005249</v>
      </c>
    </row>
    <row r="34" spans="2:9" x14ac:dyDescent="0.25">
      <c r="E34" t="s">
        <v>307</v>
      </c>
      <c r="G34">
        <v>80</v>
      </c>
      <c r="I34">
        <v>50</v>
      </c>
    </row>
    <row r="35" spans="2:9" x14ac:dyDescent="0.25">
      <c r="E35" t="s">
        <v>308</v>
      </c>
      <c r="G35" s="17">
        <f>G33/G34</f>
        <v>13821.37501874344</v>
      </c>
      <c r="I35" s="17">
        <f>I33/I34</f>
        <v>13885.799970010497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7"/>
  <sheetViews>
    <sheetView tabSelected="1" workbookViewId="0">
      <selection activeCell="G18" sqref="G18"/>
    </sheetView>
  </sheetViews>
  <sheetFormatPr defaultRowHeight="15" x14ac:dyDescent="0.25"/>
  <cols>
    <col min="1" max="1" width="30.42578125" bestFit="1" customWidth="1"/>
    <col min="2" max="2" width="19.42578125" customWidth="1"/>
    <col min="3" max="3" width="17.85546875" customWidth="1"/>
    <col min="4" max="4" width="20" customWidth="1"/>
    <col min="5" max="5" width="12.5703125" customWidth="1"/>
    <col min="6" max="6" width="14" bestFit="1" customWidth="1"/>
  </cols>
  <sheetData>
    <row r="2" spans="1:4" x14ac:dyDescent="0.25">
      <c r="A2" s="6"/>
    </row>
    <row r="4" spans="1:4" ht="15.75" x14ac:dyDescent="0.25">
      <c r="A4" s="170" t="s">
        <v>309</v>
      </c>
      <c r="B4" s="171" t="s">
        <v>310</v>
      </c>
      <c r="C4" s="171"/>
      <c r="D4" s="171"/>
    </row>
    <row r="5" spans="1:4" ht="47.25" x14ac:dyDescent="0.25">
      <c r="A5" s="170"/>
      <c r="B5" s="115" t="s">
        <v>311</v>
      </c>
      <c r="C5" s="115" t="s">
        <v>312</v>
      </c>
      <c r="D5" s="115" t="s">
        <v>313</v>
      </c>
    </row>
    <row r="6" spans="1:4" ht="15.75" x14ac:dyDescent="0.25">
      <c r="A6" s="116" t="s">
        <v>314</v>
      </c>
      <c r="B6" s="117">
        <v>300</v>
      </c>
      <c r="C6" s="117">
        <v>100</v>
      </c>
      <c r="D6" s="117">
        <v>200</v>
      </c>
    </row>
    <row r="7" spans="1:4" ht="15.75" x14ac:dyDescent="0.25">
      <c r="A7" s="118" t="s">
        <v>315</v>
      </c>
      <c r="B7" s="119">
        <v>8.64</v>
      </c>
      <c r="C7" s="119">
        <v>5.76</v>
      </c>
      <c r="D7" s="119">
        <v>7.68</v>
      </c>
    </row>
    <row r="8" spans="1:4" ht="15.75" x14ac:dyDescent="0.25">
      <c r="A8" s="120"/>
      <c r="B8" s="121" t="s">
        <v>316</v>
      </c>
      <c r="C8" s="121" t="s">
        <v>317</v>
      </c>
      <c r="D8" s="121" t="s">
        <v>318</v>
      </c>
    </row>
    <row r="9" spans="1:4" ht="15.75" x14ac:dyDescent="0.25">
      <c r="A9" s="122" t="s">
        <v>319</v>
      </c>
      <c r="B9" s="121"/>
      <c r="C9" s="121"/>
      <c r="D9" s="121"/>
    </row>
    <row r="10" spans="1:4" ht="15.75" x14ac:dyDescent="0.25">
      <c r="A10" s="120" t="s">
        <v>320</v>
      </c>
      <c r="B10" s="123">
        <v>-1</v>
      </c>
      <c r="C10" s="123">
        <v>-0.2</v>
      </c>
      <c r="D10" s="123">
        <v>-0.3</v>
      </c>
    </row>
    <row r="11" spans="1:4" ht="15.75" x14ac:dyDescent="0.25">
      <c r="A11" s="120"/>
      <c r="B11" s="121" t="s">
        <v>321</v>
      </c>
      <c r="C11" s="121" t="s">
        <v>322</v>
      </c>
      <c r="D11" s="121" t="s">
        <v>323</v>
      </c>
    </row>
    <row r="12" spans="1:4" ht="15.75" x14ac:dyDescent="0.25">
      <c r="A12" s="124" t="s">
        <v>324</v>
      </c>
      <c r="B12" s="125">
        <v>-0.82500000000000007</v>
      </c>
      <c r="C12" s="125">
        <v>-0.60500000000000009</v>
      </c>
      <c r="D12" s="125">
        <v>-0.77000000000000013</v>
      </c>
    </row>
    <row r="13" spans="1:4" ht="15.75" x14ac:dyDescent="0.25">
      <c r="A13" s="120"/>
      <c r="B13" s="121" t="s">
        <v>325</v>
      </c>
      <c r="C13" s="121" t="s">
        <v>326</v>
      </c>
      <c r="D13" s="121" t="s">
        <v>327</v>
      </c>
    </row>
    <row r="14" spans="1:4" ht="15.75" x14ac:dyDescent="0.25">
      <c r="A14" s="120" t="s">
        <v>328</v>
      </c>
      <c r="B14" s="125">
        <v>-1.05</v>
      </c>
      <c r="C14" s="125">
        <v>-0.22500000000000001</v>
      </c>
      <c r="D14" s="125">
        <v>-0.52500000000000002</v>
      </c>
    </row>
    <row r="15" spans="1:4" ht="15.75" x14ac:dyDescent="0.25">
      <c r="A15" s="120"/>
      <c r="B15" s="121" t="s">
        <v>329</v>
      </c>
      <c r="C15" s="121" t="s">
        <v>330</v>
      </c>
      <c r="D15" s="121" t="s">
        <v>331</v>
      </c>
    </row>
    <row r="16" spans="1:4" ht="15.75" thickBot="1" x14ac:dyDescent="0.3">
      <c r="A16" t="s">
        <v>332</v>
      </c>
      <c r="B16" s="93">
        <f>+B7+B10+B12+B14</f>
        <v>5.7650000000000006</v>
      </c>
      <c r="C16" s="93">
        <f t="shared" ref="C16:D16" si="0">+C7+C10+C12+C14</f>
        <v>4.7299999999999995</v>
      </c>
      <c r="D16" s="93">
        <f t="shared" si="0"/>
        <v>6.0849999999999991</v>
      </c>
    </row>
    <row r="17" spans="1:6" ht="16.5" thickTop="1" x14ac:dyDescent="0.25">
      <c r="A17" s="120" t="s">
        <v>333</v>
      </c>
      <c r="B17" s="17">
        <f>B16/B6*1000000</f>
        <v>19216.666666666672</v>
      </c>
      <c r="C17" s="17">
        <f t="shared" ref="C17:D17" si="1">C16/C6*1000000</f>
        <v>47299.999999999993</v>
      </c>
      <c r="D17" s="17">
        <f t="shared" si="1"/>
        <v>30424.999999999993</v>
      </c>
    </row>
    <row r="18" spans="1:6" ht="15.75" x14ac:dyDescent="0.25">
      <c r="A18" s="126" t="s">
        <v>334</v>
      </c>
      <c r="B18" s="127">
        <v>3</v>
      </c>
      <c r="C18" s="127">
        <v>1</v>
      </c>
      <c r="D18" s="127">
        <v>2</v>
      </c>
    </row>
    <row r="19" spans="1:6" ht="15.75" thickBot="1" x14ac:dyDescent="0.3"/>
    <row r="20" spans="1:6" ht="15.75" thickBot="1" x14ac:dyDescent="0.3">
      <c r="A20" s="105" t="s">
        <v>274</v>
      </c>
      <c r="B20" s="106" t="s">
        <v>335</v>
      </c>
      <c r="C20" s="105" t="s">
        <v>295</v>
      </c>
      <c r="D20" s="106" t="s">
        <v>276</v>
      </c>
      <c r="E20" s="106" t="s">
        <v>296</v>
      </c>
    </row>
    <row r="21" spans="1:6" x14ac:dyDescent="0.25">
      <c r="A21" s="107" t="s">
        <v>320</v>
      </c>
      <c r="B21" s="108">
        <v>1.5</v>
      </c>
      <c r="C21" s="107" t="s">
        <v>336</v>
      </c>
      <c r="D21" s="25">
        <v>750</v>
      </c>
      <c r="E21" s="25">
        <f>B21/D21*1000000</f>
        <v>2000</v>
      </c>
    </row>
    <row r="22" spans="1:6" x14ac:dyDescent="0.25">
      <c r="A22" s="109" t="s">
        <v>337</v>
      </c>
      <c r="B22" s="110">
        <v>2.2000000000000002</v>
      </c>
      <c r="C22" s="109" t="s">
        <v>338</v>
      </c>
      <c r="D22" s="27">
        <f>300+220+280</f>
        <v>800</v>
      </c>
      <c r="E22" s="27">
        <f t="shared" ref="E22:E23" si="2">B22/D22*1000000</f>
        <v>2750.0000000000005</v>
      </c>
    </row>
    <row r="23" spans="1:6" ht="15.75" thickBot="1" x14ac:dyDescent="0.3">
      <c r="A23" s="111" t="s">
        <v>328</v>
      </c>
      <c r="B23" s="112">
        <v>1.8</v>
      </c>
      <c r="C23" s="111" t="s">
        <v>339</v>
      </c>
      <c r="D23" s="29">
        <v>1200</v>
      </c>
      <c r="E23" s="29">
        <f t="shared" si="2"/>
        <v>1500</v>
      </c>
    </row>
    <row r="24" spans="1:6" ht="15.75" thickBot="1" x14ac:dyDescent="0.3">
      <c r="B24" s="113">
        <f>SUM(B21:B23)</f>
        <v>5.5</v>
      </c>
    </row>
    <row r="25" spans="1:6" ht="15.75" thickTop="1" x14ac:dyDescent="0.25"/>
    <row r="26" spans="1:6" x14ac:dyDescent="0.25">
      <c r="A26" s="114" t="s">
        <v>131</v>
      </c>
    </row>
    <row r="27" spans="1:6" x14ac:dyDescent="0.25">
      <c r="A27" s="128" t="s">
        <v>340</v>
      </c>
    </row>
    <row r="28" spans="1:6" ht="49.5" customHeight="1" x14ac:dyDescent="0.25">
      <c r="A28" s="169" t="s">
        <v>341</v>
      </c>
      <c r="B28" s="169"/>
      <c r="C28" s="169"/>
      <c r="D28" s="169"/>
      <c r="E28" s="169"/>
    </row>
    <row r="29" spans="1:6" ht="30" x14ac:dyDescent="0.25">
      <c r="A29" s="2"/>
      <c r="B29" s="129" t="s">
        <v>342</v>
      </c>
      <c r="C29" s="129" t="s">
        <v>343</v>
      </c>
      <c r="D29" s="129" t="s">
        <v>344</v>
      </c>
      <c r="E29" s="129" t="s">
        <v>314</v>
      </c>
      <c r="F29" s="129" t="s">
        <v>345</v>
      </c>
    </row>
    <row r="30" spans="1:6" ht="31.5" x14ac:dyDescent="0.25">
      <c r="A30" s="130" t="s">
        <v>311</v>
      </c>
      <c r="B30" s="131">
        <v>19216.666666666672</v>
      </c>
      <c r="C30" s="131">
        <v>-25000</v>
      </c>
      <c r="D30" s="89">
        <f>SUM(B30:C30)</f>
        <v>-5783.3333333333285</v>
      </c>
      <c r="E30" s="132">
        <v>300</v>
      </c>
      <c r="F30" s="89">
        <f>D30*E30</f>
        <v>-1734999.9999999986</v>
      </c>
    </row>
    <row r="31" spans="1:6" ht="15.75" x14ac:dyDescent="0.25">
      <c r="A31" s="130" t="s">
        <v>312</v>
      </c>
      <c r="B31" s="131">
        <v>47299.999999999993</v>
      </c>
      <c r="C31" s="131">
        <v>-25000</v>
      </c>
      <c r="D31" s="89">
        <f t="shared" ref="D31:D32" si="3">SUM(B31:C31)</f>
        <v>22299.999999999993</v>
      </c>
      <c r="E31" s="132">
        <v>100</v>
      </c>
      <c r="F31" s="89">
        <f t="shared" ref="F31:F32" si="4">D31*E31</f>
        <v>2229999.9999999991</v>
      </c>
    </row>
    <row r="32" spans="1:6" ht="31.5" x14ac:dyDescent="0.25">
      <c r="A32" s="130" t="s">
        <v>313</v>
      </c>
      <c r="B32" s="131">
        <v>30424.999999999993</v>
      </c>
      <c r="C32" s="131">
        <v>-25000</v>
      </c>
      <c r="D32" s="89">
        <f t="shared" si="3"/>
        <v>5424.9999999999927</v>
      </c>
      <c r="E32" s="132">
        <v>200</v>
      </c>
      <c r="F32" s="89">
        <f t="shared" si="4"/>
        <v>1084999.9999999986</v>
      </c>
    </row>
    <row r="33" spans="1:6" ht="15.75" thickBot="1" x14ac:dyDescent="0.3">
      <c r="A33" s="2"/>
      <c r="B33" s="2"/>
      <c r="C33" s="2"/>
      <c r="D33" s="2"/>
      <c r="E33" s="2"/>
      <c r="F33" s="18">
        <f>SUM(F30:F32)</f>
        <v>1579999.9999999991</v>
      </c>
    </row>
    <row r="34" spans="1:6" ht="15.75" thickTop="1" x14ac:dyDescent="0.25"/>
    <row r="36" spans="1:6" ht="46.5" customHeight="1" x14ac:dyDescent="0.25">
      <c r="A36" s="168" t="s">
        <v>346</v>
      </c>
      <c r="B36" s="169"/>
      <c r="C36" s="169"/>
      <c r="D36" s="169"/>
      <c r="E36" s="169"/>
    </row>
    <row r="38" spans="1:6" ht="15.75" x14ac:dyDescent="0.25">
      <c r="A38" s="172"/>
      <c r="B38" s="173" t="s">
        <v>310</v>
      </c>
      <c r="C38" s="173"/>
      <c r="D38" s="173"/>
    </row>
    <row r="39" spans="1:6" ht="47.25" x14ac:dyDescent="0.25">
      <c r="A39" s="172"/>
      <c r="B39" s="133" t="s">
        <v>311</v>
      </c>
      <c r="C39" s="133" t="s">
        <v>312</v>
      </c>
      <c r="D39" s="133" t="s">
        <v>313</v>
      </c>
    </row>
    <row r="40" spans="1:6" ht="15.75" x14ac:dyDescent="0.25">
      <c r="A40" s="134" t="s">
        <v>314</v>
      </c>
      <c r="B40" s="121">
        <v>300</v>
      </c>
      <c r="C40" s="121">
        <v>100</v>
      </c>
      <c r="D40" s="121">
        <v>200</v>
      </c>
    </row>
    <row r="41" spans="1:6" ht="15.75" x14ac:dyDescent="0.25">
      <c r="A41" s="134" t="s">
        <v>347</v>
      </c>
      <c r="B41" s="121">
        <v>300</v>
      </c>
      <c r="C41" s="121">
        <v>220</v>
      </c>
      <c r="D41" s="121">
        <v>280</v>
      </c>
    </row>
    <row r="42" spans="1:6" x14ac:dyDescent="0.25">
      <c r="A42" s="2" t="s">
        <v>348</v>
      </c>
      <c r="B42" s="2">
        <f>B41/B40</f>
        <v>1</v>
      </c>
      <c r="C42" s="2">
        <f t="shared" ref="C42:D42" si="5">C41/C40</f>
        <v>2.2000000000000002</v>
      </c>
      <c r="D42" s="2">
        <f t="shared" si="5"/>
        <v>1.4</v>
      </c>
    </row>
    <row r="47" spans="1:6" x14ac:dyDescent="0.25">
      <c r="A47" s="128" t="s">
        <v>349</v>
      </c>
    </row>
    <row r="48" spans="1:6" ht="44.25" customHeight="1" x14ac:dyDescent="0.25">
      <c r="A48" s="168" t="s">
        <v>350</v>
      </c>
      <c r="B48" s="169"/>
      <c r="C48" s="169"/>
      <c r="D48" s="169"/>
      <c r="E48" s="169"/>
    </row>
    <row r="51" spans="1:5" ht="15.75" x14ac:dyDescent="0.25">
      <c r="A51" s="170" t="s">
        <v>309</v>
      </c>
      <c r="B51" s="171" t="s">
        <v>310</v>
      </c>
      <c r="C51" s="171"/>
      <c r="D51" s="171"/>
    </row>
    <row r="52" spans="1:5" ht="47.25" x14ac:dyDescent="0.25">
      <c r="A52" s="170"/>
      <c r="B52" s="115" t="s">
        <v>311</v>
      </c>
      <c r="C52" s="115" t="s">
        <v>312</v>
      </c>
      <c r="D52" s="115" t="s">
        <v>313</v>
      </c>
    </row>
    <row r="53" spans="1:5" ht="15.75" x14ac:dyDescent="0.25">
      <c r="A53" s="120" t="s">
        <v>347</v>
      </c>
      <c r="B53" s="135">
        <v>300</v>
      </c>
      <c r="C53" s="135">
        <v>220</v>
      </c>
      <c r="D53" s="135">
        <v>280</v>
      </c>
    </row>
    <row r="54" spans="1:5" ht="31.5" x14ac:dyDescent="0.25">
      <c r="A54" s="120" t="s">
        <v>351</v>
      </c>
      <c r="B54" s="135">
        <v>500</v>
      </c>
      <c r="C54" s="135">
        <v>100</v>
      </c>
      <c r="D54" s="135">
        <v>150</v>
      </c>
    </row>
    <row r="55" spans="1:5" x14ac:dyDescent="0.25">
      <c r="A55" t="s">
        <v>352</v>
      </c>
      <c r="B55">
        <f>B53/B54</f>
        <v>0.6</v>
      </c>
      <c r="C55" s="2">
        <f t="shared" ref="C55:D55" si="6">C53/C54</f>
        <v>2.2000000000000002</v>
      </c>
      <c r="D55" s="4">
        <f t="shared" si="6"/>
        <v>1.8666666666666667</v>
      </c>
    </row>
    <row r="57" spans="1:5" ht="66" customHeight="1" x14ac:dyDescent="0.25">
      <c r="A57" s="168" t="s">
        <v>353</v>
      </c>
      <c r="B57" s="169"/>
      <c r="C57" s="169"/>
      <c r="D57" s="169"/>
      <c r="E57" s="169"/>
    </row>
  </sheetData>
  <mergeCells count="10">
    <mergeCell ref="A48:E48"/>
    <mergeCell ref="A51:A52"/>
    <mergeCell ref="B51:D51"/>
    <mergeCell ref="A57:E57"/>
    <mergeCell ref="A4:A5"/>
    <mergeCell ref="B4:D4"/>
    <mergeCell ref="A28:E28"/>
    <mergeCell ref="A36:E36"/>
    <mergeCell ref="A38:A39"/>
    <mergeCell ref="B38:D3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workbookViewId="0">
      <selection activeCell="D21" sqref="D21"/>
    </sheetView>
  </sheetViews>
  <sheetFormatPr defaultRowHeight="15" x14ac:dyDescent="0.25"/>
  <cols>
    <col min="1" max="1" width="47.140625" customWidth="1"/>
    <col min="2" max="2" width="12.5703125" bestFit="1" customWidth="1"/>
    <col min="3" max="3" width="15.140625" customWidth="1"/>
    <col min="4" max="4" width="13.42578125" customWidth="1"/>
    <col min="5" max="5" width="22.85546875" bestFit="1" customWidth="1"/>
    <col min="6" max="6" width="14" bestFit="1" customWidth="1"/>
  </cols>
  <sheetData>
    <row r="2" spans="1:4" x14ac:dyDescent="0.25">
      <c r="A2" s="6" t="s">
        <v>31</v>
      </c>
    </row>
    <row r="4" spans="1:4" x14ac:dyDescent="0.25">
      <c r="A4" t="s">
        <v>32</v>
      </c>
      <c r="B4" s="6"/>
    </row>
    <row r="6" spans="1:4" x14ac:dyDescent="0.25">
      <c r="A6" s="152" t="s">
        <v>33</v>
      </c>
      <c r="B6" s="151" t="s">
        <v>34</v>
      </c>
      <c r="C6" s="9" t="s">
        <v>35</v>
      </c>
    </row>
    <row r="7" spans="1:4" x14ac:dyDescent="0.25">
      <c r="A7" s="152"/>
      <c r="B7" s="151"/>
      <c r="C7" s="10" t="s">
        <v>19</v>
      </c>
    </row>
    <row r="8" spans="1:4" x14ac:dyDescent="0.25">
      <c r="C8" s="11"/>
    </row>
    <row r="9" spans="1:4" x14ac:dyDescent="0.25">
      <c r="B9" s="151" t="s">
        <v>34</v>
      </c>
      <c r="C9" s="12">
        <v>432000</v>
      </c>
    </row>
    <row r="10" spans="1:4" x14ac:dyDescent="0.25">
      <c r="B10" s="151"/>
      <c r="C10" s="10" t="s">
        <v>36</v>
      </c>
    </row>
    <row r="11" spans="1:4" x14ac:dyDescent="0.25">
      <c r="C11" s="11"/>
    </row>
    <row r="12" spans="1:4" x14ac:dyDescent="0.25">
      <c r="B12" s="151" t="s">
        <v>34</v>
      </c>
      <c r="C12" s="13">
        <v>432000</v>
      </c>
    </row>
    <row r="13" spans="1:4" x14ac:dyDescent="0.25">
      <c r="B13" s="151"/>
      <c r="C13" s="14">
        <f>(24000*1)+24000*1.5</f>
        <v>60000</v>
      </c>
    </row>
    <row r="14" spans="1:4" x14ac:dyDescent="0.25">
      <c r="C14" s="11"/>
    </row>
    <row r="15" spans="1:4" ht="15.75" thickBot="1" x14ac:dyDescent="0.3">
      <c r="B15" s="7" t="s">
        <v>34</v>
      </c>
      <c r="C15" s="15">
        <f>432000/60000</f>
        <v>7.2</v>
      </c>
      <c r="D15" s="2" t="s">
        <v>37</v>
      </c>
    </row>
    <row r="16" spans="1:4" ht="15.75" thickTop="1" x14ac:dyDescent="0.25"/>
    <row r="18" spans="1:6" x14ac:dyDescent="0.25">
      <c r="B18" s="16" t="s">
        <v>38</v>
      </c>
      <c r="C18" s="16" t="s">
        <v>39</v>
      </c>
    </row>
    <row r="19" spans="1:6" x14ac:dyDescent="0.25">
      <c r="A19" t="s">
        <v>40</v>
      </c>
      <c r="B19" s="4">
        <v>12</v>
      </c>
      <c r="C19" s="4">
        <v>24</v>
      </c>
    </row>
    <row r="20" spans="1:6" x14ac:dyDescent="0.25">
      <c r="A20" t="s">
        <v>41</v>
      </c>
      <c r="B20" s="17">
        <f>+C15</f>
        <v>7.2</v>
      </c>
      <c r="C20" s="4">
        <f>7.2*1.5</f>
        <v>10.8</v>
      </c>
      <c r="E20" s="17">
        <f>C20-B20</f>
        <v>3.6000000000000005</v>
      </c>
    </row>
    <row r="21" spans="1:6" x14ac:dyDescent="0.25">
      <c r="B21" t="s">
        <v>42</v>
      </c>
      <c r="C21" s="1" t="s">
        <v>43</v>
      </c>
    </row>
    <row r="22" spans="1:6" ht="15.75" thickBot="1" x14ac:dyDescent="0.3">
      <c r="A22" t="s">
        <v>44</v>
      </c>
      <c r="B22" s="18">
        <f>SUM(B19:B20)</f>
        <v>19.2</v>
      </c>
      <c r="C22" s="18">
        <f>SUM(C19:C20)</f>
        <v>34.799999999999997</v>
      </c>
    </row>
    <row r="23" spans="1:6" ht="15.75" thickTop="1" x14ac:dyDescent="0.25"/>
    <row r="24" spans="1:6" x14ac:dyDescent="0.25">
      <c r="A24" s="6" t="s">
        <v>45</v>
      </c>
    </row>
    <row r="25" spans="1:6" ht="15.75" thickBot="1" x14ac:dyDescent="0.3"/>
    <row r="26" spans="1:6" ht="15.75" thickBot="1" x14ac:dyDescent="0.3">
      <c r="A26" s="19" t="s">
        <v>46</v>
      </c>
      <c r="B26" s="20"/>
      <c r="C26" s="21" t="s">
        <v>47</v>
      </c>
      <c r="D26" s="22"/>
      <c r="E26" s="22"/>
      <c r="F26" s="153" t="s">
        <v>48</v>
      </c>
    </row>
    <row r="27" spans="1:6" ht="15.75" thickBot="1" x14ac:dyDescent="0.3">
      <c r="A27" s="19" t="s">
        <v>49</v>
      </c>
      <c r="B27" s="23" t="s">
        <v>50</v>
      </c>
      <c r="C27" s="22" t="s">
        <v>51</v>
      </c>
      <c r="D27" s="22" t="s">
        <v>52</v>
      </c>
      <c r="E27" s="22"/>
      <c r="F27" s="154"/>
    </row>
    <row r="28" spans="1:6" x14ac:dyDescent="0.25">
      <c r="A28" s="24" t="s">
        <v>53</v>
      </c>
      <c r="B28" s="25">
        <v>73200</v>
      </c>
      <c r="C28" s="24" t="s">
        <v>54</v>
      </c>
      <c r="D28" s="25">
        <f>12+720</f>
        <v>732</v>
      </c>
      <c r="E28" s="24" t="s">
        <v>55</v>
      </c>
      <c r="F28" s="25">
        <f>B28/D28</f>
        <v>100</v>
      </c>
    </row>
    <row r="29" spans="1:6" x14ac:dyDescent="0.25">
      <c r="A29" s="26" t="s">
        <v>56</v>
      </c>
      <c r="B29" s="27">
        <v>60000</v>
      </c>
      <c r="C29" s="26" t="s">
        <v>57</v>
      </c>
      <c r="D29" s="27">
        <f>24000+96000</f>
        <v>120000</v>
      </c>
      <c r="E29" s="26" t="s">
        <v>58</v>
      </c>
      <c r="F29" s="27">
        <f t="shared" ref="F29:F32" si="0">B29/D29</f>
        <v>0.5</v>
      </c>
    </row>
    <row r="30" spans="1:6" x14ac:dyDescent="0.25">
      <c r="A30" s="26" t="s">
        <v>59</v>
      </c>
      <c r="B30" s="27">
        <v>63000</v>
      </c>
      <c r="C30" s="26" t="s">
        <v>60</v>
      </c>
      <c r="D30" s="27">
        <v>252</v>
      </c>
      <c r="E30" s="26" t="s">
        <v>61</v>
      </c>
      <c r="F30" s="27">
        <f t="shared" si="0"/>
        <v>250</v>
      </c>
    </row>
    <row r="31" spans="1:6" x14ac:dyDescent="0.25">
      <c r="A31" s="26" t="s">
        <v>62</v>
      </c>
      <c r="B31" s="27">
        <v>19800</v>
      </c>
      <c r="C31" s="26" t="s">
        <v>63</v>
      </c>
      <c r="D31" s="27">
        <v>150</v>
      </c>
      <c r="E31" s="26" t="s">
        <v>64</v>
      </c>
      <c r="F31" s="27">
        <f t="shared" si="0"/>
        <v>132</v>
      </c>
    </row>
    <row r="32" spans="1:6" ht="15.75" thickBot="1" x14ac:dyDescent="0.3">
      <c r="A32" s="28" t="s">
        <v>65</v>
      </c>
      <c r="B32" s="29">
        <v>216000</v>
      </c>
      <c r="C32" s="28" t="s">
        <v>21</v>
      </c>
      <c r="D32" s="29">
        <v>60000</v>
      </c>
      <c r="E32" s="28" t="s">
        <v>66</v>
      </c>
      <c r="F32" s="29">
        <f t="shared" si="0"/>
        <v>3.6</v>
      </c>
    </row>
    <row r="33" spans="1:4" ht="15.75" thickBot="1" x14ac:dyDescent="0.3">
      <c r="B33" s="30">
        <f>SUM(B28:B32)</f>
        <v>432000</v>
      </c>
    </row>
    <row r="34" spans="1:4" ht="16.5" thickTop="1" thickBot="1" x14ac:dyDescent="0.3"/>
    <row r="35" spans="1:4" x14ac:dyDescent="0.25">
      <c r="A35" s="31" t="s">
        <v>67</v>
      </c>
      <c r="B35" s="32" t="s">
        <v>38</v>
      </c>
      <c r="C35" s="32" t="s">
        <v>39</v>
      </c>
    </row>
    <row r="36" spans="1:4" x14ac:dyDescent="0.25">
      <c r="A36" s="26" t="s">
        <v>53</v>
      </c>
      <c r="B36" s="33">
        <f>F28*12</f>
        <v>1200</v>
      </c>
      <c r="C36" s="33">
        <f>+F28*720</f>
        <v>72000</v>
      </c>
    </row>
    <row r="37" spans="1:4" x14ac:dyDescent="0.25">
      <c r="A37" s="26"/>
      <c r="B37" s="34" t="s">
        <v>68</v>
      </c>
      <c r="C37" s="34" t="s">
        <v>69</v>
      </c>
    </row>
    <row r="38" spans="1:4" x14ac:dyDescent="0.25">
      <c r="A38" s="26" t="s">
        <v>56</v>
      </c>
      <c r="B38" s="33">
        <f>0.5*24000</f>
        <v>12000</v>
      </c>
      <c r="C38" s="33">
        <f>0.5*96000</f>
        <v>48000</v>
      </c>
    </row>
    <row r="39" spans="1:4" x14ac:dyDescent="0.25">
      <c r="A39" s="26"/>
      <c r="B39" s="34" t="s">
        <v>70</v>
      </c>
      <c r="C39" s="34" t="s">
        <v>71</v>
      </c>
    </row>
    <row r="40" spans="1:4" x14ac:dyDescent="0.25">
      <c r="A40" s="26" t="s">
        <v>59</v>
      </c>
      <c r="B40" s="33">
        <f>+F30*12</f>
        <v>3000</v>
      </c>
      <c r="C40" s="33">
        <f>+F30*240</f>
        <v>60000</v>
      </c>
    </row>
    <row r="41" spans="1:4" x14ac:dyDescent="0.25">
      <c r="A41" s="26"/>
      <c r="B41" s="34" t="s">
        <v>72</v>
      </c>
      <c r="C41" s="34" t="s">
        <v>73</v>
      </c>
    </row>
    <row r="42" spans="1:4" x14ac:dyDescent="0.25">
      <c r="A42" s="26" t="s">
        <v>62</v>
      </c>
      <c r="B42" s="33">
        <f>+F31*10</f>
        <v>1320</v>
      </c>
      <c r="C42" s="33">
        <f>+F31*140</f>
        <v>18480</v>
      </c>
    </row>
    <row r="43" spans="1:4" x14ac:dyDescent="0.25">
      <c r="A43" s="26"/>
      <c r="B43" s="34" t="s">
        <v>74</v>
      </c>
      <c r="C43" s="34" t="s">
        <v>75</v>
      </c>
    </row>
    <row r="44" spans="1:4" x14ac:dyDescent="0.25">
      <c r="A44" s="26" t="s">
        <v>65</v>
      </c>
      <c r="B44" s="33">
        <f>+F32*24000</f>
        <v>86400</v>
      </c>
      <c r="C44" s="33">
        <f>+F32*36000</f>
        <v>129600</v>
      </c>
    </row>
    <row r="45" spans="1:4" ht="15.75" thickBot="1" x14ac:dyDescent="0.3">
      <c r="A45" s="28"/>
      <c r="B45" s="35" t="s">
        <v>76</v>
      </c>
      <c r="C45" s="35" t="s">
        <v>77</v>
      </c>
    </row>
    <row r="46" spans="1:4" x14ac:dyDescent="0.25">
      <c r="A46" t="s">
        <v>78</v>
      </c>
      <c r="B46" s="17">
        <f>B36+B38+B40+B42+B44</f>
        <v>103920</v>
      </c>
      <c r="C46" s="17">
        <f>C36+C38+C40+C42+C44</f>
        <v>328080</v>
      </c>
      <c r="D46" s="17">
        <f>SUM(B46:C46)</f>
        <v>432000</v>
      </c>
    </row>
    <row r="47" spans="1:4" x14ac:dyDescent="0.25">
      <c r="A47" t="s">
        <v>79</v>
      </c>
      <c r="B47" s="4">
        <v>24000</v>
      </c>
      <c r="C47" s="4">
        <v>24000</v>
      </c>
    </row>
    <row r="48" spans="1:4" ht="15.75" thickBot="1" x14ac:dyDescent="0.3">
      <c r="A48" s="2" t="s">
        <v>80</v>
      </c>
      <c r="B48" s="8">
        <f>B46/B47</f>
        <v>4.33</v>
      </c>
      <c r="C48" s="8">
        <f>C46/C47</f>
        <v>13.67</v>
      </c>
    </row>
    <row r="49" spans="1:3" ht="15.75" thickTop="1" x14ac:dyDescent="0.25"/>
    <row r="50" spans="1:3" x14ac:dyDescent="0.25">
      <c r="B50" s="16" t="s">
        <v>38</v>
      </c>
      <c r="C50" s="16" t="s">
        <v>39</v>
      </c>
    </row>
    <row r="51" spans="1:3" x14ac:dyDescent="0.25">
      <c r="A51" t="s">
        <v>81</v>
      </c>
      <c r="B51" s="4">
        <v>12</v>
      </c>
      <c r="C51" s="4">
        <v>24</v>
      </c>
    </row>
    <row r="52" spans="1:3" x14ac:dyDescent="0.25">
      <c r="A52" t="s">
        <v>41</v>
      </c>
      <c r="B52" s="17">
        <f>+B48</f>
        <v>4.33</v>
      </c>
      <c r="C52" s="17">
        <f>+C48</f>
        <v>13.67</v>
      </c>
    </row>
    <row r="53" spans="1:3" ht="15.75" thickBot="1" x14ac:dyDescent="0.3">
      <c r="A53" t="s">
        <v>44</v>
      </c>
      <c r="B53" s="36">
        <f>SUM(B51:B52)</f>
        <v>16.329999999999998</v>
      </c>
      <c r="C53" s="36">
        <f>SUM(C51:C52)</f>
        <v>37.67</v>
      </c>
    </row>
    <row r="54" spans="1:3" ht="15.75" thickTop="1" x14ac:dyDescent="0.25"/>
    <row r="56" spans="1:3" x14ac:dyDescent="0.25">
      <c r="A56" t="s">
        <v>82</v>
      </c>
      <c r="B56" s="16" t="s">
        <v>38</v>
      </c>
      <c r="C56" s="16" t="s">
        <v>39</v>
      </c>
    </row>
    <row r="57" spans="1:3" x14ac:dyDescent="0.25">
      <c r="A57" t="s">
        <v>83</v>
      </c>
      <c r="B57" s="17">
        <f>+B22</f>
        <v>19.2</v>
      </c>
      <c r="C57" s="17">
        <f>+C22</f>
        <v>34.799999999999997</v>
      </c>
    </row>
    <row r="58" spans="1:3" x14ac:dyDescent="0.25">
      <c r="A58" t="s">
        <v>84</v>
      </c>
      <c r="B58" s="17">
        <f>+B53</f>
        <v>16.329999999999998</v>
      </c>
      <c r="C58" s="17">
        <f>+C53</f>
        <v>37.67</v>
      </c>
    </row>
    <row r="59" spans="1:3" x14ac:dyDescent="0.25">
      <c r="B59" s="17">
        <f>B57-B58</f>
        <v>2.870000000000001</v>
      </c>
      <c r="C59" s="17">
        <f>C58-C57</f>
        <v>2.8700000000000045</v>
      </c>
    </row>
    <row r="60" spans="1:3" x14ac:dyDescent="0.25">
      <c r="B60" s="37">
        <f>B59/B57</f>
        <v>0.14947916666666672</v>
      </c>
      <c r="C60" s="37">
        <f>C59/C57</f>
        <v>8.2471264367816224E-2</v>
      </c>
    </row>
  </sheetData>
  <mergeCells count="5">
    <mergeCell ref="B6:B7"/>
    <mergeCell ref="A6:A7"/>
    <mergeCell ref="B9:B10"/>
    <mergeCell ref="B12:B13"/>
    <mergeCell ref="F26:F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2"/>
  <sheetViews>
    <sheetView workbookViewId="0">
      <selection activeCell="I22" sqref="I22"/>
    </sheetView>
  </sheetViews>
  <sheetFormatPr defaultRowHeight="15" x14ac:dyDescent="0.25"/>
  <cols>
    <col min="1" max="1" width="32.42578125" bestFit="1" customWidth="1"/>
    <col min="2" max="2" width="14.28515625" bestFit="1" customWidth="1"/>
    <col min="3" max="3" width="23.5703125" customWidth="1"/>
    <col min="4" max="4" width="14.28515625" bestFit="1" customWidth="1"/>
    <col min="5" max="5" width="22" bestFit="1" customWidth="1"/>
    <col min="6" max="6" width="15.7109375" customWidth="1"/>
    <col min="7" max="7" width="12.7109375" customWidth="1"/>
  </cols>
  <sheetData>
    <row r="2" spans="1:7" x14ac:dyDescent="0.25">
      <c r="A2" s="6" t="s">
        <v>85</v>
      </c>
    </row>
    <row r="3" spans="1:7" x14ac:dyDescent="0.25">
      <c r="A3" s="6"/>
    </row>
    <row r="4" spans="1:7" ht="15.75" thickBot="1" x14ac:dyDescent="0.3">
      <c r="A4" t="s">
        <v>86</v>
      </c>
    </row>
    <row r="5" spans="1:7" x14ac:dyDescent="0.25">
      <c r="A5" s="47" t="s">
        <v>87</v>
      </c>
      <c r="B5" s="48"/>
      <c r="C5" s="49" t="s">
        <v>88</v>
      </c>
      <c r="D5" s="50"/>
      <c r="E5" s="50"/>
      <c r="F5" s="155" t="s">
        <v>89</v>
      </c>
    </row>
    <row r="6" spans="1:7" x14ac:dyDescent="0.25">
      <c r="A6" s="52" t="s">
        <v>90</v>
      </c>
      <c r="B6" s="53" t="s">
        <v>91</v>
      </c>
      <c r="C6" s="54" t="s">
        <v>51</v>
      </c>
      <c r="D6" s="54" t="s">
        <v>52</v>
      </c>
      <c r="E6" s="55"/>
      <c r="F6" s="156"/>
    </row>
    <row r="7" spans="1:7" x14ac:dyDescent="0.25">
      <c r="A7" s="26" t="s">
        <v>92</v>
      </c>
      <c r="B7" s="27">
        <v>1870160</v>
      </c>
      <c r="C7" s="26" t="s">
        <v>93</v>
      </c>
      <c r="D7" s="27">
        <f>14600*1+(22400*1.5)</f>
        <v>48200</v>
      </c>
      <c r="E7" s="26" t="s">
        <v>94</v>
      </c>
      <c r="F7" s="27">
        <f>B7/D7</f>
        <v>38.799999999999997</v>
      </c>
    </row>
    <row r="8" spans="1:7" x14ac:dyDescent="0.25">
      <c r="A8" s="26" t="s">
        <v>95</v>
      </c>
      <c r="B8" s="27">
        <v>6215616</v>
      </c>
      <c r="C8" s="26" t="s">
        <v>96</v>
      </c>
      <c r="D8" s="27">
        <f>14600*24+(22400*48)</f>
        <v>1425600</v>
      </c>
      <c r="E8" s="26" t="s">
        <v>97</v>
      </c>
      <c r="F8" s="27">
        <f t="shared" ref="F8:F10" si="0">B8/D8</f>
        <v>4.3600000000000003</v>
      </c>
    </row>
    <row r="9" spans="1:7" x14ac:dyDescent="0.25">
      <c r="A9" s="26" t="s">
        <v>98</v>
      </c>
      <c r="B9" s="27">
        <v>966976</v>
      </c>
      <c r="C9" s="26" t="s">
        <v>99</v>
      </c>
      <c r="D9" s="27">
        <f>14600*1+(22400*4)</f>
        <v>104200</v>
      </c>
      <c r="E9" s="26" t="s">
        <v>100</v>
      </c>
      <c r="F9" s="27">
        <f t="shared" si="0"/>
        <v>9.2799999999999994</v>
      </c>
    </row>
    <row r="10" spans="1:7" x14ac:dyDescent="0.25">
      <c r="A10" s="26" t="s">
        <v>101</v>
      </c>
      <c r="B10" s="27">
        <v>8553600</v>
      </c>
      <c r="C10" s="26" t="s">
        <v>96</v>
      </c>
      <c r="D10" s="27">
        <f>14600*24+(22400*48)</f>
        <v>1425600</v>
      </c>
      <c r="E10" s="26" t="s">
        <v>97</v>
      </c>
      <c r="F10" s="27">
        <f t="shared" si="0"/>
        <v>6</v>
      </c>
    </row>
    <row r="11" spans="1:7" x14ac:dyDescent="0.25">
      <c r="B11" s="17">
        <f>SUM(B7:B10)</f>
        <v>17606352</v>
      </c>
    </row>
    <row r="12" spans="1:7" ht="15.75" thickBot="1" x14ac:dyDescent="0.3"/>
    <row r="13" spans="1:7" ht="30.75" thickBot="1" x14ac:dyDescent="0.3">
      <c r="A13" s="57" t="s">
        <v>102</v>
      </c>
      <c r="B13" s="58" t="s">
        <v>103</v>
      </c>
      <c r="C13" s="58" t="s">
        <v>104</v>
      </c>
      <c r="D13" s="58" t="s">
        <v>105</v>
      </c>
      <c r="F13" s="58" t="s">
        <v>103</v>
      </c>
      <c r="G13" s="58" t="s">
        <v>104</v>
      </c>
    </row>
    <row r="14" spans="1:7" x14ac:dyDescent="0.25">
      <c r="A14" s="24" t="s">
        <v>92</v>
      </c>
      <c r="B14" s="59">
        <f>F7*14600</f>
        <v>566480</v>
      </c>
      <c r="C14" s="59">
        <f>F7*33600</f>
        <v>1303680</v>
      </c>
      <c r="D14" s="59">
        <f>B14+C14</f>
        <v>1870160</v>
      </c>
      <c r="F14" s="59">
        <f>38.8*1</f>
        <v>38.799999999999997</v>
      </c>
      <c r="G14" s="59">
        <f>38.8*1.5</f>
        <v>58.199999999999996</v>
      </c>
    </row>
    <row r="15" spans="1:7" x14ac:dyDescent="0.25">
      <c r="A15" s="26"/>
      <c r="B15" s="60" t="s">
        <v>106</v>
      </c>
      <c r="C15" s="60" t="s">
        <v>107</v>
      </c>
      <c r="D15" s="61"/>
      <c r="F15" s="60" t="s">
        <v>108</v>
      </c>
      <c r="G15" s="60" t="s">
        <v>109</v>
      </c>
    </row>
    <row r="16" spans="1:7" x14ac:dyDescent="0.25">
      <c r="A16" s="26" t="s">
        <v>95</v>
      </c>
      <c r="B16" s="62">
        <f>F8*350400</f>
        <v>1527744</v>
      </c>
      <c r="C16" s="62">
        <f>F8*1075200</f>
        <v>4687872</v>
      </c>
      <c r="D16" s="62">
        <f>B16+C16</f>
        <v>6215616</v>
      </c>
      <c r="F16" s="62">
        <f>4.36*24</f>
        <v>104.64000000000001</v>
      </c>
      <c r="G16" s="62">
        <f>4.36*48</f>
        <v>209.28000000000003</v>
      </c>
    </row>
    <row r="17" spans="1:7" x14ac:dyDescent="0.25">
      <c r="A17" s="26"/>
      <c r="B17" s="60" t="s">
        <v>110</v>
      </c>
      <c r="C17" s="60" t="s">
        <v>111</v>
      </c>
      <c r="D17" s="61"/>
      <c r="F17" s="60" t="s">
        <v>112</v>
      </c>
      <c r="G17" s="60" t="s">
        <v>113</v>
      </c>
    </row>
    <row r="18" spans="1:7" x14ac:dyDescent="0.25">
      <c r="A18" s="26" t="s">
        <v>98</v>
      </c>
      <c r="B18" s="62">
        <f>F9*14600</f>
        <v>135488</v>
      </c>
      <c r="C18" s="62">
        <f>F9*89600</f>
        <v>831488</v>
      </c>
      <c r="D18" s="62">
        <f>B18+C18</f>
        <v>966976</v>
      </c>
      <c r="F18" s="62">
        <v>9.2799999999999994</v>
      </c>
      <c r="G18" s="62">
        <f>9.28*4</f>
        <v>37.119999999999997</v>
      </c>
    </row>
    <row r="19" spans="1:7" x14ac:dyDescent="0.25">
      <c r="A19" s="26"/>
      <c r="B19" s="60" t="s">
        <v>114</v>
      </c>
      <c r="C19" s="60" t="s">
        <v>115</v>
      </c>
      <c r="D19" s="61"/>
      <c r="F19" s="60" t="s">
        <v>116</v>
      </c>
      <c r="G19" s="60" t="s">
        <v>117</v>
      </c>
    </row>
    <row r="20" spans="1:7" x14ac:dyDescent="0.25">
      <c r="A20" s="26" t="s">
        <v>101</v>
      </c>
      <c r="B20" s="62">
        <f>F10*350400</f>
        <v>2102400</v>
      </c>
      <c r="C20" s="62">
        <f>F10*1075200</f>
        <v>6451200</v>
      </c>
      <c r="D20" s="62">
        <f>B20+C20</f>
        <v>8553600</v>
      </c>
      <c r="F20" s="62">
        <f>6*24</f>
        <v>144</v>
      </c>
      <c r="G20" s="62">
        <f>6*48</f>
        <v>288</v>
      </c>
    </row>
    <row r="21" spans="1:7" ht="15.75" thickBot="1" x14ac:dyDescent="0.3">
      <c r="A21" s="28"/>
      <c r="B21" s="63" t="s">
        <v>118</v>
      </c>
      <c r="C21" s="63" t="s">
        <v>119</v>
      </c>
      <c r="D21" s="64"/>
      <c r="F21" s="63" t="s">
        <v>120</v>
      </c>
      <c r="G21" s="63">
        <f>6*48</f>
        <v>288</v>
      </c>
    </row>
    <row r="22" spans="1:7" x14ac:dyDescent="0.25">
      <c r="A22" t="s">
        <v>121</v>
      </c>
      <c r="B22" s="17">
        <f>B14+B16+B18+B20</f>
        <v>4332112</v>
      </c>
      <c r="C22" s="17">
        <f>C14+C16+C18+C20</f>
        <v>13274240</v>
      </c>
      <c r="D22" s="17">
        <f>SUM(D14:D21)</f>
        <v>17606352</v>
      </c>
    </row>
    <row r="23" spans="1:7" x14ac:dyDescent="0.25">
      <c r="A23" t="s">
        <v>122</v>
      </c>
      <c r="B23" s="4">
        <v>14600</v>
      </c>
      <c r="C23" s="4">
        <v>22400</v>
      </c>
    </row>
    <row r="24" spans="1:7" ht="15.75" thickBot="1" x14ac:dyDescent="0.3">
      <c r="A24" s="65" t="s">
        <v>123</v>
      </c>
      <c r="B24" s="66">
        <f>B22/B23</f>
        <v>296.72000000000003</v>
      </c>
      <c r="C24" s="66">
        <f>C22/C23</f>
        <v>592.6</v>
      </c>
      <c r="F24" s="18">
        <f>+F14+F16+F18+F20</f>
        <v>296.72000000000003</v>
      </c>
      <c r="G24" s="18">
        <f>+G14+G16+G18+G20</f>
        <v>592.6</v>
      </c>
    </row>
    <row r="25" spans="1:7" ht="15.75" thickTop="1" x14ac:dyDescent="0.25"/>
    <row r="26" spans="1:7" ht="15.75" thickBot="1" x14ac:dyDescent="0.3">
      <c r="A26" s="6" t="s">
        <v>124</v>
      </c>
    </row>
    <row r="27" spans="1:7" x14ac:dyDescent="0.25">
      <c r="A27" s="24"/>
      <c r="B27" s="67" t="s">
        <v>125</v>
      </c>
      <c r="C27" s="67" t="s">
        <v>126</v>
      </c>
    </row>
    <row r="28" spans="1:7" x14ac:dyDescent="0.25">
      <c r="A28" s="26" t="s">
        <v>81</v>
      </c>
      <c r="B28" s="26"/>
      <c r="C28" s="26"/>
    </row>
    <row r="29" spans="1:7" x14ac:dyDescent="0.25">
      <c r="A29" s="26" t="s">
        <v>127</v>
      </c>
      <c r="B29" s="27">
        <v>1200</v>
      </c>
      <c r="C29" s="27">
        <v>2640</v>
      </c>
    </row>
    <row r="30" spans="1:7" x14ac:dyDescent="0.25">
      <c r="A30" s="26" t="s">
        <v>128</v>
      </c>
      <c r="B30" s="27">
        <v>800</v>
      </c>
      <c r="C30" s="27">
        <v>1620</v>
      </c>
    </row>
    <row r="31" spans="1:7" x14ac:dyDescent="0.25">
      <c r="A31" s="26"/>
      <c r="B31" s="68">
        <f>SUM(B29:B30)</f>
        <v>2000</v>
      </c>
      <c r="C31" s="68">
        <f>SUM(C29:C30)</f>
        <v>4260</v>
      </c>
    </row>
    <row r="32" spans="1:7" ht="15.75" thickBot="1" x14ac:dyDescent="0.3">
      <c r="A32" s="28" t="s">
        <v>129</v>
      </c>
      <c r="B32" s="69">
        <f>+B24</f>
        <v>296.72000000000003</v>
      </c>
      <c r="C32" s="69">
        <f>+C24</f>
        <v>592.6</v>
      </c>
    </row>
    <row r="33" spans="1:3" ht="15.75" thickBot="1" x14ac:dyDescent="0.3">
      <c r="A33" s="65" t="s">
        <v>130</v>
      </c>
      <c r="B33" s="70">
        <f>SUM(B31:B32)</f>
        <v>2296.7200000000003</v>
      </c>
      <c r="C33" s="70">
        <f>SUM(C31:C32)</f>
        <v>4852.6000000000004</v>
      </c>
    </row>
    <row r="34" spans="1:3" ht="15.75" thickTop="1" x14ac:dyDescent="0.25"/>
    <row r="35" spans="1:3" ht="15.75" thickBot="1" x14ac:dyDescent="0.3"/>
    <row r="36" spans="1:3" x14ac:dyDescent="0.25">
      <c r="A36" t="s">
        <v>131</v>
      </c>
      <c r="B36" s="67" t="s">
        <v>125</v>
      </c>
      <c r="C36" s="67" t="s">
        <v>126</v>
      </c>
    </row>
    <row r="37" spans="1:3" x14ac:dyDescent="0.25">
      <c r="A37" t="s">
        <v>132</v>
      </c>
      <c r="B37" s="4">
        <v>2475.85</v>
      </c>
      <c r="C37" s="4">
        <v>4735.8500000000004</v>
      </c>
    </row>
    <row r="38" spans="1:3" x14ac:dyDescent="0.25">
      <c r="A38" t="s">
        <v>133</v>
      </c>
      <c r="B38" s="17">
        <f>+B33</f>
        <v>2296.7200000000003</v>
      </c>
      <c r="C38" s="17">
        <f>+C33</f>
        <v>4852.6000000000004</v>
      </c>
    </row>
    <row r="39" spans="1:3" x14ac:dyDescent="0.25">
      <c r="A39" t="s">
        <v>134</v>
      </c>
      <c r="B39" s="17">
        <f>B37-B38</f>
        <v>179.12999999999965</v>
      </c>
      <c r="C39" s="17">
        <f>C37-C38</f>
        <v>-116.75</v>
      </c>
    </row>
    <row r="42" spans="1:3" x14ac:dyDescent="0.25">
      <c r="A42" t="s">
        <v>135</v>
      </c>
      <c r="B42" s="17">
        <f>+D22</f>
        <v>17606352</v>
      </c>
    </row>
    <row r="43" spans="1:3" x14ac:dyDescent="0.25">
      <c r="A43" t="s">
        <v>136</v>
      </c>
      <c r="B43" s="17">
        <f>+B8+B10</f>
        <v>14769216</v>
      </c>
      <c r="C43" t="s">
        <v>137</v>
      </c>
    </row>
    <row r="44" spans="1:3" x14ac:dyDescent="0.25">
      <c r="B44" s="71">
        <f>B43/B42</f>
        <v>0.83885724879293566</v>
      </c>
    </row>
    <row r="46" spans="1:3" x14ac:dyDescent="0.25">
      <c r="A46" t="s">
        <v>138</v>
      </c>
    </row>
    <row r="48" spans="1:3" x14ac:dyDescent="0.25">
      <c r="B48" s="1" t="s">
        <v>91</v>
      </c>
    </row>
    <row r="49" spans="1:3" x14ac:dyDescent="0.25">
      <c r="A49" t="s">
        <v>139</v>
      </c>
      <c r="B49" s="4">
        <f>+B42</f>
        <v>17606352</v>
      </c>
    </row>
    <row r="50" spans="1:3" x14ac:dyDescent="0.25">
      <c r="A50" t="s">
        <v>140</v>
      </c>
      <c r="B50" s="4">
        <f>+D8</f>
        <v>1425600</v>
      </c>
    </row>
    <row r="51" spans="1:3" x14ac:dyDescent="0.25">
      <c r="A51" t="s">
        <v>141</v>
      </c>
      <c r="B51" s="4">
        <f>B49/B50</f>
        <v>12.35013468013468</v>
      </c>
    </row>
    <row r="52" spans="1:3" ht="15.75" thickBot="1" x14ac:dyDescent="0.3"/>
    <row r="53" spans="1:3" x14ac:dyDescent="0.25">
      <c r="A53" s="24"/>
      <c r="B53" s="67" t="s">
        <v>125</v>
      </c>
      <c r="C53" s="67" t="s">
        <v>126</v>
      </c>
    </row>
    <row r="54" spans="1:3" x14ac:dyDescent="0.25">
      <c r="A54" s="26" t="s">
        <v>81</v>
      </c>
      <c r="B54" s="26"/>
      <c r="C54" s="26"/>
    </row>
    <row r="55" spans="1:3" x14ac:dyDescent="0.25">
      <c r="A55" s="26" t="s">
        <v>127</v>
      </c>
      <c r="B55" s="27">
        <v>1200</v>
      </c>
      <c r="C55" s="27">
        <v>2640</v>
      </c>
    </row>
    <row r="56" spans="1:3" x14ac:dyDescent="0.25">
      <c r="A56" s="26" t="s">
        <v>128</v>
      </c>
      <c r="B56" s="27">
        <v>800</v>
      </c>
      <c r="C56" s="27">
        <v>1620</v>
      </c>
    </row>
    <row r="57" spans="1:3" x14ac:dyDescent="0.25">
      <c r="A57" s="26"/>
      <c r="B57" s="68">
        <f>SUM(B55:B56)</f>
        <v>2000</v>
      </c>
      <c r="C57" s="68">
        <f>SUM(C55:C56)</f>
        <v>4260</v>
      </c>
    </row>
    <row r="58" spans="1:3" ht="15.75" thickBot="1" x14ac:dyDescent="0.3">
      <c r="A58" s="28" t="s">
        <v>142</v>
      </c>
      <c r="B58" s="69">
        <f>+B51*24</f>
        <v>296.40323232323232</v>
      </c>
      <c r="C58" s="69">
        <f>+B51*48</f>
        <v>592.80646464646463</v>
      </c>
    </row>
    <row r="59" spans="1:3" ht="15.75" thickBot="1" x14ac:dyDescent="0.3">
      <c r="A59" s="65" t="s">
        <v>143</v>
      </c>
      <c r="B59" s="70">
        <f>SUM(B57:B58)</f>
        <v>2296.4032323232323</v>
      </c>
      <c r="C59" s="70">
        <f>SUM(C57:C58)</f>
        <v>4852.8064646464645</v>
      </c>
    </row>
    <row r="60" spans="1:3" ht="15.75" thickTop="1" x14ac:dyDescent="0.25"/>
    <row r="61" spans="1:3" ht="15.75" thickBot="1" x14ac:dyDescent="0.3">
      <c r="A61" s="65" t="s">
        <v>144</v>
      </c>
      <c r="B61" s="70">
        <v>2296.7200000000003</v>
      </c>
      <c r="C61" s="70">
        <v>4852.6000000000004</v>
      </c>
    </row>
    <row r="62" spans="1:3" ht="15.75" thickTop="1" x14ac:dyDescent="0.25"/>
  </sheetData>
  <mergeCells count="1">
    <mergeCell ref="F5:F6"/>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2"/>
  <sheetViews>
    <sheetView workbookViewId="0">
      <selection activeCell="G21" sqref="G21"/>
    </sheetView>
  </sheetViews>
  <sheetFormatPr defaultRowHeight="15" x14ac:dyDescent="0.25"/>
  <cols>
    <col min="1" max="1" width="32" customWidth="1"/>
    <col min="2" max="2" width="21.5703125" bestFit="1" customWidth="1"/>
    <col min="3" max="3" width="25.42578125" customWidth="1"/>
    <col min="4" max="4" width="23" bestFit="1" customWidth="1"/>
    <col min="5" max="5" width="17.28515625" customWidth="1"/>
  </cols>
  <sheetData>
    <row r="2" spans="1:5" x14ac:dyDescent="0.25">
      <c r="A2" s="6" t="s">
        <v>145</v>
      </c>
    </row>
    <row r="4" spans="1:5" x14ac:dyDescent="0.25">
      <c r="A4" t="s">
        <v>146</v>
      </c>
    </row>
    <row r="6" spans="1:5" x14ac:dyDescent="0.25">
      <c r="A6" t="s">
        <v>147</v>
      </c>
      <c r="C6" s="16" t="s">
        <v>148</v>
      </c>
      <c r="D6" s="16"/>
      <c r="E6" s="16" t="s">
        <v>149</v>
      </c>
    </row>
    <row r="7" spans="1:5" x14ac:dyDescent="0.25">
      <c r="A7" t="s">
        <v>150</v>
      </c>
      <c r="C7" s="4">
        <v>75</v>
      </c>
      <c r="D7" s="4"/>
      <c r="E7" s="4">
        <v>40.5</v>
      </c>
    </row>
    <row r="8" spans="1:5" x14ac:dyDescent="0.25">
      <c r="A8" t="s">
        <v>151</v>
      </c>
      <c r="B8" t="s">
        <v>152</v>
      </c>
      <c r="C8" s="4">
        <f>-50000*1000/1000000</f>
        <v>-50</v>
      </c>
      <c r="D8" s="4" t="s">
        <v>153</v>
      </c>
      <c r="E8" s="4">
        <f>-27000*1000/1000000</f>
        <v>-27</v>
      </c>
    </row>
    <row r="9" spans="1:5" ht="15.75" thickBot="1" x14ac:dyDescent="0.3">
      <c r="A9" s="6" t="s">
        <v>154</v>
      </c>
      <c r="C9" s="72">
        <f>SUM(C7:C8)</f>
        <v>25</v>
      </c>
      <c r="D9" s="4"/>
      <c r="E9" s="72">
        <f>SUM(E7:E8)</f>
        <v>13.5</v>
      </c>
    </row>
    <row r="10" spans="1:5" ht="15.75" thickTop="1" x14ac:dyDescent="0.25">
      <c r="C10" s="4"/>
      <c r="D10" s="4"/>
      <c r="E10" s="4"/>
    </row>
    <row r="12" spans="1:5" x14ac:dyDescent="0.25">
      <c r="A12" s="6" t="s">
        <v>155</v>
      </c>
    </row>
    <row r="13" spans="1:5" x14ac:dyDescent="0.25">
      <c r="C13" t="s">
        <v>156</v>
      </c>
    </row>
    <row r="14" spans="1:5" x14ac:dyDescent="0.25">
      <c r="A14" t="s">
        <v>157</v>
      </c>
      <c r="C14" s="4">
        <v>50</v>
      </c>
    </row>
    <row r="15" spans="1:5" x14ac:dyDescent="0.25">
      <c r="A15" t="s">
        <v>158</v>
      </c>
      <c r="C15" s="4">
        <v>70</v>
      </c>
    </row>
    <row r="16" spans="1:5" x14ac:dyDescent="0.25">
      <c r="A16" t="s">
        <v>159</v>
      </c>
      <c r="C16" s="4">
        <v>120</v>
      </c>
    </row>
    <row r="17" spans="1:5" x14ac:dyDescent="0.25">
      <c r="A17" t="s">
        <v>160</v>
      </c>
      <c r="C17" s="4">
        <v>60</v>
      </c>
    </row>
    <row r="18" spans="1:5" x14ac:dyDescent="0.25">
      <c r="A18" t="s">
        <v>161</v>
      </c>
      <c r="C18" s="17">
        <f>SUM(C14:C17)</f>
        <v>300</v>
      </c>
    </row>
    <row r="19" spans="1:5" x14ac:dyDescent="0.25">
      <c r="A19" t="s">
        <v>162</v>
      </c>
      <c r="C19" s="4">
        <v>300000</v>
      </c>
    </row>
    <row r="20" spans="1:5" x14ac:dyDescent="0.25">
      <c r="A20" t="s">
        <v>163</v>
      </c>
      <c r="C20" s="4">
        <f>C18*1000000/C19</f>
        <v>1000</v>
      </c>
      <c r="D20" t="s">
        <v>164</v>
      </c>
    </row>
    <row r="22" spans="1:5" x14ac:dyDescent="0.25">
      <c r="A22" s="6" t="s">
        <v>165</v>
      </c>
    </row>
    <row r="23" spans="1:5" ht="15.75" thickBot="1" x14ac:dyDescent="0.3"/>
    <row r="24" spans="1:5" x14ac:dyDescent="0.25">
      <c r="A24" s="47" t="s">
        <v>87</v>
      </c>
      <c r="B24" s="48"/>
      <c r="C24" s="49" t="s">
        <v>88</v>
      </c>
      <c r="D24" s="50"/>
      <c r="E24" s="155" t="s">
        <v>89</v>
      </c>
    </row>
    <row r="25" spans="1:5" ht="15.75" thickBot="1" x14ac:dyDescent="0.3">
      <c r="A25" s="73" t="s">
        <v>90</v>
      </c>
      <c r="B25" s="74" t="s">
        <v>50</v>
      </c>
      <c r="C25" s="75" t="s">
        <v>51</v>
      </c>
      <c r="D25" s="75" t="s">
        <v>52</v>
      </c>
      <c r="E25" s="157"/>
    </row>
    <row r="26" spans="1:5" x14ac:dyDescent="0.25">
      <c r="A26" s="24" t="s">
        <v>157</v>
      </c>
      <c r="B26" s="25">
        <v>50</v>
      </c>
      <c r="C26" s="24" t="s">
        <v>166</v>
      </c>
      <c r="D26" s="25">
        <v>200</v>
      </c>
      <c r="E26" s="25">
        <f>B26/D26*1000000</f>
        <v>250000</v>
      </c>
    </row>
    <row r="27" spans="1:5" x14ac:dyDescent="0.25">
      <c r="A27" s="26" t="s">
        <v>158</v>
      </c>
      <c r="B27" s="27">
        <v>70</v>
      </c>
      <c r="C27" s="26" t="s">
        <v>63</v>
      </c>
      <c r="D27" s="27">
        <v>700</v>
      </c>
      <c r="E27" s="27">
        <f t="shared" ref="E27:E29" si="0">B27/D27*1000000</f>
        <v>100000</v>
      </c>
    </row>
    <row r="28" spans="1:5" x14ac:dyDescent="0.25">
      <c r="A28" s="26" t="s">
        <v>159</v>
      </c>
      <c r="B28" s="27">
        <v>120</v>
      </c>
      <c r="C28" s="26" t="s">
        <v>167</v>
      </c>
      <c r="D28" s="27">
        <v>240</v>
      </c>
      <c r="E28" s="27">
        <f t="shared" si="0"/>
        <v>500000</v>
      </c>
    </row>
    <row r="29" spans="1:5" ht="15.75" thickBot="1" x14ac:dyDescent="0.3">
      <c r="A29" s="28" t="s">
        <v>160</v>
      </c>
      <c r="B29" s="29">
        <v>60</v>
      </c>
      <c r="C29" s="28" t="s">
        <v>168</v>
      </c>
      <c r="D29" s="29">
        <v>30</v>
      </c>
      <c r="E29" s="29">
        <f t="shared" si="0"/>
        <v>2000000</v>
      </c>
    </row>
    <row r="30" spans="1:5" x14ac:dyDescent="0.25">
      <c r="B30" s="17">
        <f>SUM(B26:B29)</f>
        <v>300</v>
      </c>
    </row>
    <row r="33" spans="1:5" x14ac:dyDescent="0.25">
      <c r="A33" t="s">
        <v>147</v>
      </c>
      <c r="C33" s="16" t="s">
        <v>148</v>
      </c>
      <c r="D33" s="16"/>
      <c r="E33" s="16" t="s">
        <v>149</v>
      </c>
    </row>
    <row r="34" spans="1:5" x14ac:dyDescent="0.25">
      <c r="A34" t="s">
        <v>169</v>
      </c>
      <c r="C34" s="17">
        <f>+C7</f>
        <v>75</v>
      </c>
      <c r="E34" s="17">
        <f>+E7</f>
        <v>40.5</v>
      </c>
    </row>
    <row r="35" spans="1:5" x14ac:dyDescent="0.25">
      <c r="A35" t="s">
        <v>157</v>
      </c>
      <c r="B35" t="s">
        <v>170</v>
      </c>
      <c r="C35" s="4">
        <f>-250000*24/1000000</f>
        <v>-6</v>
      </c>
      <c r="D35" t="s">
        <v>171</v>
      </c>
      <c r="E35" s="4">
        <v>-3</v>
      </c>
    </row>
    <row r="36" spans="1:5" x14ac:dyDescent="0.25">
      <c r="A36" t="s">
        <v>158</v>
      </c>
      <c r="B36" t="s">
        <v>172</v>
      </c>
      <c r="C36" s="4">
        <f>-100000*75/1000000</f>
        <v>-7.5</v>
      </c>
      <c r="D36" t="s">
        <v>173</v>
      </c>
      <c r="E36" s="4">
        <f>-100000*20/1000000</f>
        <v>-2</v>
      </c>
    </row>
    <row r="37" spans="1:5" x14ac:dyDescent="0.25">
      <c r="A37" t="s">
        <v>159</v>
      </c>
      <c r="B37" t="s">
        <v>174</v>
      </c>
      <c r="C37" s="4">
        <f>-500000*45/1000000</f>
        <v>-22.5</v>
      </c>
      <c r="D37" t="s">
        <v>175</v>
      </c>
      <c r="E37" s="4">
        <f>-500000*15/1000000</f>
        <v>-7.5</v>
      </c>
    </row>
    <row r="38" spans="1:5" x14ac:dyDescent="0.25">
      <c r="A38" t="s">
        <v>160</v>
      </c>
      <c r="B38" t="s">
        <v>176</v>
      </c>
      <c r="C38" s="4">
        <f>-2000000*5/1000000</f>
        <v>-10</v>
      </c>
      <c r="E38" s="4">
        <v>0</v>
      </c>
    </row>
    <row r="39" spans="1:5" ht="15.75" thickBot="1" x14ac:dyDescent="0.3">
      <c r="A39" t="s">
        <v>154</v>
      </c>
      <c r="C39" s="36">
        <f>SUM(C34:C38)</f>
        <v>29</v>
      </c>
      <c r="D39" s="2"/>
      <c r="E39" s="36">
        <f>SUM(E34:E38)</f>
        <v>28</v>
      </c>
    </row>
    <row r="40" spans="1:5" ht="15.75" thickTop="1" x14ac:dyDescent="0.25"/>
    <row r="46" spans="1:5" x14ac:dyDescent="0.25">
      <c r="C46" t="s">
        <v>177</v>
      </c>
      <c r="D46" t="s">
        <v>178</v>
      </c>
      <c r="E46" t="s">
        <v>179</v>
      </c>
    </row>
    <row r="47" spans="1:5" x14ac:dyDescent="0.25">
      <c r="C47" s="76"/>
      <c r="E47" s="76"/>
    </row>
    <row r="48" spans="1:5" x14ac:dyDescent="0.25">
      <c r="C48" s="76"/>
      <c r="E48" s="76"/>
    </row>
    <row r="50" spans="3:4" x14ac:dyDescent="0.25">
      <c r="C50" t="s">
        <v>177</v>
      </c>
      <c r="D50" t="s">
        <v>179</v>
      </c>
    </row>
    <row r="51" spans="3:4" x14ac:dyDescent="0.25">
      <c r="C51" s="76"/>
      <c r="D51" s="76"/>
    </row>
    <row r="52" spans="3:4" x14ac:dyDescent="0.25">
      <c r="C52" s="76"/>
      <c r="D52" s="76"/>
    </row>
  </sheetData>
  <mergeCells count="1">
    <mergeCell ref="E24:E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5"/>
  <sheetViews>
    <sheetView workbookViewId="0">
      <selection activeCell="L18" sqref="L18"/>
    </sheetView>
  </sheetViews>
  <sheetFormatPr defaultRowHeight="15" x14ac:dyDescent="0.25"/>
  <cols>
    <col min="1" max="1" width="27.140625" bestFit="1" customWidth="1"/>
    <col min="2" max="2" width="11.140625" bestFit="1" customWidth="1"/>
    <col min="3" max="3" width="17" bestFit="1" customWidth="1"/>
    <col min="5" max="5" width="22" bestFit="1" customWidth="1"/>
    <col min="6" max="6" width="10.140625" bestFit="1" customWidth="1"/>
  </cols>
  <sheetData>
    <row r="2" spans="1:8" x14ac:dyDescent="0.25">
      <c r="A2" s="6" t="s">
        <v>180</v>
      </c>
    </row>
    <row r="3" spans="1:8" ht="15.75" thickBot="1" x14ac:dyDescent="0.3">
      <c r="A3" t="s">
        <v>181</v>
      </c>
    </row>
    <row r="4" spans="1:8" ht="15.75" thickBot="1" x14ac:dyDescent="0.3">
      <c r="A4" s="136" t="s">
        <v>182</v>
      </c>
      <c r="B4" s="137" t="s">
        <v>148</v>
      </c>
      <c r="C4" s="137" t="s">
        <v>149</v>
      </c>
    </row>
    <row r="5" spans="1:8" ht="15.75" thickBot="1" x14ac:dyDescent="0.3">
      <c r="A5" s="138" t="s">
        <v>183</v>
      </c>
      <c r="B5" s="139">
        <v>75</v>
      </c>
      <c r="C5" s="139">
        <v>40.5</v>
      </c>
    </row>
    <row r="6" spans="1:8" ht="15.75" thickBot="1" x14ac:dyDescent="0.3">
      <c r="A6" s="138" t="s">
        <v>184</v>
      </c>
      <c r="B6" s="140"/>
      <c r="C6" s="140"/>
    </row>
    <row r="7" spans="1:8" ht="15.75" thickBot="1" x14ac:dyDescent="0.3">
      <c r="A7" s="138" t="s">
        <v>185</v>
      </c>
      <c r="B7" s="139">
        <v>6</v>
      </c>
      <c r="C7" s="139">
        <v>3</v>
      </c>
    </row>
    <row r="8" spans="1:8" ht="15.75" thickBot="1" x14ac:dyDescent="0.3">
      <c r="A8" s="138" t="s">
        <v>186</v>
      </c>
      <c r="B8" s="139">
        <v>7.5</v>
      </c>
      <c r="C8" s="139">
        <v>2</v>
      </c>
    </row>
    <row r="9" spans="1:8" ht="15.75" thickBot="1" x14ac:dyDescent="0.3">
      <c r="A9" s="138" t="s">
        <v>159</v>
      </c>
      <c r="B9" s="139">
        <v>22.5</v>
      </c>
      <c r="C9" s="139">
        <v>7.5</v>
      </c>
    </row>
    <row r="10" spans="1:8" ht="15.75" thickBot="1" x14ac:dyDescent="0.3">
      <c r="A10" s="138" t="s">
        <v>187</v>
      </c>
      <c r="B10" s="139">
        <v>10</v>
      </c>
      <c r="C10" s="139">
        <v>0</v>
      </c>
    </row>
    <row r="11" spans="1:8" ht="15.75" thickBot="1" x14ac:dyDescent="0.3">
      <c r="A11" s="138"/>
      <c r="B11" s="139">
        <v>46</v>
      </c>
      <c r="C11" s="139">
        <v>12.5</v>
      </c>
    </row>
    <row r="12" spans="1:8" ht="15.75" thickBot="1" x14ac:dyDescent="0.3">
      <c r="A12" s="141" t="s">
        <v>188</v>
      </c>
      <c r="B12" s="142">
        <v>29</v>
      </c>
      <c r="C12" s="142">
        <v>28</v>
      </c>
    </row>
    <row r="14" spans="1:8" ht="15.75" thickBot="1" x14ac:dyDescent="0.3"/>
    <row r="15" spans="1:8" ht="15.75" thickBot="1" x14ac:dyDescent="0.3">
      <c r="A15" s="158" t="s">
        <v>87</v>
      </c>
      <c r="B15" s="159"/>
      <c r="C15" s="160" t="s">
        <v>189</v>
      </c>
      <c r="D15" s="161"/>
      <c r="E15" s="162" t="s">
        <v>190</v>
      </c>
      <c r="F15" s="163"/>
      <c r="G15" s="163"/>
      <c r="H15" s="159"/>
    </row>
    <row r="16" spans="1:8" ht="45.75" thickBot="1" x14ac:dyDescent="0.3">
      <c r="A16" s="141" t="s">
        <v>191</v>
      </c>
      <c r="B16" s="139" t="s">
        <v>192</v>
      </c>
      <c r="C16" s="143" t="s">
        <v>51</v>
      </c>
      <c r="D16" s="140"/>
      <c r="E16" s="141" t="s">
        <v>191</v>
      </c>
      <c r="F16" s="144" t="s">
        <v>193</v>
      </c>
      <c r="G16" s="142" t="s">
        <v>194</v>
      </c>
      <c r="H16" s="142" t="s">
        <v>195</v>
      </c>
    </row>
    <row r="17" spans="1:8" ht="15.75" thickBot="1" x14ac:dyDescent="0.3">
      <c r="A17" s="138" t="s">
        <v>196</v>
      </c>
      <c r="B17" s="145">
        <v>50000</v>
      </c>
      <c r="C17" s="140" t="s">
        <v>185</v>
      </c>
      <c r="D17" s="139">
        <v>200</v>
      </c>
      <c r="E17" s="138" t="s">
        <v>196</v>
      </c>
      <c r="F17" s="146">
        <v>50000</v>
      </c>
      <c r="G17" s="139">
        <v>200</v>
      </c>
      <c r="H17" s="139">
        <v>250</v>
      </c>
    </row>
    <row r="18" spans="1:8" ht="15.75" thickBot="1" x14ac:dyDescent="0.3">
      <c r="A18" s="138" t="s">
        <v>186</v>
      </c>
      <c r="B18" s="145">
        <v>70000</v>
      </c>
      <c r="C18" s="140" t="s">
        <v>186</v>
      </c>
      <c r="D18" s="139">
        <v>700</v>
      </c>
      <c r="E18" s="138" t="s">
        <v>186</v>
      </c>
      <c r="F18" s="146">
        <v>70000</v>
      </c>
      <c r="G18" s="139">
        <v>700</v>
      </c>
      <c r="H18" s="139">
        <v>100</v>
      </c>
    </row>
    <row r="19" spans="1:8" ht="15.75" thickBot="1" x14ac:dyDescent="0.3">
      <c r="A19" s="138" t="s">
        <v>159</v>
      </c>
      <c r="B19" s="145">
        <v>120000</v>
      </c>
      <c r="C19" s="140" t="s">
        <v>159</v>
      </c>
      <c r="D19" s="139">
        <v>240</v>
      </c>
      <c r="E19" s="138" t="s">
        <v>159</v>
      </c>
      <c r="F19" s="146">
        <v>120000</v>
      </c>
      <c r="G19" s="139">
        <v>240</v>
      </c>
      <c r="H19" s="139">
        <v>500</v>
      </c>
    </row>
    <row r="20" spans="1:8" ht="15.75" thickBot="1" x14ac:dyDescent="0.3">
      <c r="A20" s="138" t="s">
        <v>187</v>
      </c>
      <c r="B20" s="145">
        <v>60000</v>
      </c>
      <c r="C20" s="140" t="s">
        <v>187</v>
      </c>
      <c r="D20" s="139">
        <v>30</v>
      </c>
      <c r="E20" s="138" t="s">
        <v>187</v>
      </c>
      <c r="F20" s="146">
        <v>60000</v>
      </c>
      <c r="G20" s="139">
        <v>30</v>
      </c>
      <c r="H20" s="146">
        <v>2000</v>
      </c>
    </row>
    <row r="21" spans="1:8" ht="15.75" thickBot="1" x14ac:dyDescent="0.3">
      <c r="A21" s="138"/>
      <c r="B21" s="146">
        <v>300000</v>
      </c>
      <c r="C21" s="140"/>
      <c r="D21" s="140"/>
      <c r="F21" s="147">
        <v>300000</v>
      </c>
    </row>
    <row r="22" spans="1:8" ht="15.75" thickBot="1" x14ac:dyDescent="0.3"/>
    <row r="23" spans="1:8" ht="15.75" thickBot="1" x14ac:dyDescent="0.3">
      <c r="A23" s="158" t="s">
        <v>197</v>
      </c>
      <c r="B23" s="163"/>
      <c r="C23" s="163"/>
      <c r="D23" s="159"/>
    </row>
    <row r="24" spans="1:8" ht="45.75" thickBot="1" x14ac:dyDescent="0.3">
      <c r="A24" s="138"/>
      <c r="B24" s="137" t="s">
        <v>148</v>
      </c>
      <c r="C24" s="137" t="s">
        <v>149</v>
      </c>
      <c r="D24" s="144" t="s">
        <v>193</v>
      </c>
    </row>
    <row r="25" spans="1:8" ht="15.75" thickBot="1" x14ac:dyDescent="0.3">
      <c r="A25" s="138" t="s">
        <v>196</v>
      </c>
      <c r="B25" s="145">
        <v>6000</v>
      </c>
      <c r="C25" s="145">
        <v>3000</v>
      </c>
      <c r="D25" s="145">
        <v>9000</v>
      </c>
    </row>
    <row r="26" spans="1:8" ht="15.75" thickBot="1" x14ac:dyDescent="0.3">
      <c r="A26" s="138"/>
      <c r="B26" s="139" t="s">
        <v>198</v>
      </c>
      <c r="C26" s="139" t="s">
        <v>199</v>
      </c>
      <c r="D26" s="148"/>
    </row>
    <row r="27" spans="1:8" ht="15.75" thickBot="1" x14ac:dyDescent="0.3">
      <c r="A27" s="138" t="s">
        <v>186</v>
      </c>
      <c r="B27" s="145">
        <v>7500</v>
      </c>
      <c r="C27" s="145">
        <v>2000</v>
      </c>
      <c r="D27" s="145">
        <v>9500</v>
      </c>
    </row>
    <row r="28" spans="1:8" ht="15.75" thickBot="1" x14ac:dyDescent="0.3">
      <c r="A28" s="138"/>
      <c r="B28" s="139" t="s">
        <v>200</v>
      </c>
      <c r="C28" s="139" t="s">
        <v>201</v>
      </c>
      <c r="D28" s="148"/>
    </row>
    <row r="29" spans="1:8" ht="15.75" thickBot="1" x14ac:dyDescent="0.3">
      <c r="A29" s="138" t="s">
        <v>159</v>
      </c>
      <c r="B29" s="145">
        <v>22500</v>
      </c>
      <c r="C29" s="145">
        <v>7500</v>
      </c>
      <c r="D29" s="145">
        <v>30000</v>
      </c>
    </row>
    <row r="30" spans="1:8" ht="15.75" thickBot="1" x14ac:dyDescent="0.3">
      <c r="A30" s="138"/>
      <c r="B30" s="139" t="s">
        <v>202</v>
      </c>
      <c r="C30" s="139" t="s">
        <v>203</v>
      </c>
      <c r="D30" s="148"/>
    </row>
    <row r="31" spans="1:8" ht="15.75" thickBot="1" x14ac:dyDescent="0.3">
      <c r="A31" s="138" t="s">
        <v>187</v>
      </c>
      <c r="B31" s="145">
        <v>10000</v>
      </c>
      <c r="C31" s="139" t="s">
        <v>204</v>
      </c>
      <c r="D31" s="145">
        <v>10000</v>
      </c>
    </row>
    <row r="32" spans="1:8" ht="15.75" thickBot="1" x14ac:dyDescent="0.3">
      <c r="A32" s="138"/>
      <c r="B32" s="139" t="s">
        <v>205</v>
      </c>
      <c r="C32" s="139" t="s">
        <v>206</v>
      </c>
      <c r="D32" s="148"/>
    </row>
    <row r="34" spans="1:5" x14ac:dyDescent="0.25">
      <c r="A34" t="s">
        <v>131</v>
      </c>
    </row>
    <row r="35" spans="1:5" ht="133.5" customHeight="1" x14ac:dyDescent="0.25">
      <c r="A35" s="164" t="s">
        <v>207</v>
      </c>
      <c r="B35" s="164"/>
      <c r="C35" s="164"/>
      <c r="D35" s="164"/>
      <c r="E35" s="164"/>
    </row>
  </sheetData>
  <mergeCells count="5">
    <mergeCell ref="A15:B15"/>
    <mergeCell ref="C15:D15"/>
    <mergeCell ref="E15:H15"/>
    <mergeCell ref="A23:D23"/>
    <mergeCell ref="A35:E3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workbookViewId="0">
      <selection activeCell="G19" sqref="G19"/>
    </sheetView>
  </sheetViews>
  <sheetFormatPr defaultRowHeight="15" x14ac:dyDescent="0.25"/>
  <cols>
    <col min="1" max="1" width="32.42578125" bestFit="1" customWidth="1"/>
    <col min="2" max="2" width="14.140625" customWidth="1"/>
    <col min="3" max="3" width="12" customWidth="1"/>
    <col min="4" max="4" width="16.28515625" customWidth="1"/>
    <col min="5" max="5" width="28.7109375" customWidth="1"/>
    <col min="6" max="6" width="13.140625" bestFit="1" customWidth="1"/>
    <col min="7" max="7" width="20.42578125" bestFit="1" customWidth="1"/>
    <col min="8" max="8" width="29.42578125" bestFit="1" customWidth="1"/>
  </cols>
  <sheetData>
    <row r="2" spans="1:8" x14ac:dyDescent="0.25">
      <c r="A2" s="6" t="s">
        <v>208</v>
      </c>
    </row>
    <row r="3" spans="1:8" ht="15.75" thickBot="1" x14ac:dyDescent="0.3"/>
    <row r="4" spans="1:8" ht="30" x14ac:dyDescent="0.25">
      <c r="A4" s="47" t="s">
        <v>87</v>
      </c>
      <c r="B4" s="80" t="s">
        <v>209</v>
      </c>
      <c r="C4" s="80" t="s">
        <v>210</v>
      </c>
      <c r="D4" s="77" t="s">
        <v>211</v>
      </c>
      <c r="E4" s="82" t="s">
        <v>88</v>
      </c>
      <c r="F4" s="50"/>
      <c r="G4" s="165"/>
      <c r="H4" s="155" t="s">
        <v>89</v>
      </c>
    </row>
    <row r="5" spans="1:8" ht="15.75" thickBot="1" x14ac:dyDescent="0.3">
      <c r="A5" s="73" t="s">
        <v>90</v>
      </c>
      <c r="B5" s="74" t="s">
        <v>50</v>
      </c>
      <c r="C5" s="74" t="s">
        <v>212</v>
      </c>
      <c r="D5" s="74" t="s">
        <v>50</v>
      </c>
      <c r="E5" s="75" t="s">
        <v>51</v>
      </c>
      <c r="F5" s="75" t="s">
        <v>52</v>
      </c>
      <c r="G5" s="166"/>
      <c r="H5" s="157"/>
    </row>
    <row r="6" spans="1:8" x14ac:dyDescent="0.25">
      <c r="A6" s="24" t="s">
        <v>213</v>
      </c>
      <c r="B6" s="25">
        <v>6000000</v>
      </c>
      <c r="C6" s="78">
        <v>0.05</v>
      </c>
      <c r="D6" s="25">
        <f>B6*(1+C6)</f>
        <v>6300000</v>
      </c>
      <c r="E6" s="24" t="s">
        <v>214</v>
      </c>
      <c r="F6" s="25">
        <v>40000</v>
      </c>
      <c r="G6" s="25" t="s">
        <v>215</v>
      </c>
      <c r="H6" s="25">
        <f>D6/F6</f>
        <v>157.5</v>
      </c>
    </row>
    <row r="7" spans="1:8" x14ac:dyDescent="0.25">
      <c r="A7" s="26" t="s">
        <v>216</v>
      </c>
      <c r="B7" s="27">
        <v>6328000</v>
      </c>
      <c r="C7" s="79">
        <v>0.12</v>
      </c>
      <c r="D7" s="27">
        <f t="shared" ref="D7:D8" si="0">B7*(1+C7)</f>
        <v>7087360.0000000009</v>
      </c>
      <c r="E7" s="26" t="s">
        <v>217</v>
      </c>
      <c r="F7" s="27">
        <v>1130</v>
      </c>
      <c r="G7" s="27" t="s">
        <v>218</v>
      </c>
      <c r="H7" s="27">
        <f t="shared" ref="H7:H8" si="1">D7/F7</f>
        <v>6272.0000000000009</v>
      </c>
    </row>
    <row r="8" spans="1:8" ht="15.75" thickBot="1" x14ac:dyDescent="0.3">
      <c r="A8" s="28" t="s">
        <v>219</v>
      </c>
      <c r="B8" s="29">
        <v>9000000</v>
      </c>
      <c r="C8" s="81">
        <v>0.1</v>
      </c>
      <c r="D8" s="29">
        <f t="shared" si="0"/>
        <v>9900000</v>
      </c>
      <c r="E8" s="28" t="s">
        <v>220</v>
      </c>
      <c r="F8" s="29">
        <v>800</v>
      </c>
      <c r="G8" s="29" t="s">
        <v>221</v>
      </c>
      <c r="H8" s="29">
        <f t="shared" si="1"/>
        <v>12375</v>
      </c>
    </row>
    <row r="9" spans="1:8" ht="15.75" thickBot="1" x14ac:dyDescent="0.3">
      <c r="B9" s="30">
        <f>SUM(B6:B8)</f>
        <v>21328000</v>
      </c>
      <c r="C9" s="17"/>
      <c r="D9" s="30">
        <f>SUM(D6:D8)</f>
        <v>23287360</v>
      </c>
    </row>
    <row r="10" spans="1:8" ht="15.75" thickTop="1" x14ac:dyDescent="0.25"/>
    <row r="11" spans="1:8" ht="15.75" thickBot="1" x14ac:dyDescent="0.3"/>
    <row r="12" spans="1:8" ht="30.75" thickBot="1" x14ac:dyDescent="0.3">
      <c r="A12" s="83" t="s">
        <v>222</v>
      </c>
      <c r="B12" s="84" t="s">
        <v>223</v>
      </c>
      <c r="C12" s="84"/>
    </row>
    <row r="13" spans="1:8" x14ac:dyDescent="0.25">
      <c r="A13" s="24" t="s">
        <v>213</v>
      </c>
      <c r="B13" s="25">
        <f>157.5*20000</f>
        <v>3150000</v>
      </c>
      <c r="C13" s="24" t="s">
        <v>224</v>
      </c>
    </row>
    <row r="14" spans="1:8" x14ac:dyDescent="0.25">
      <c r="A14" s="26" t="s">
        <v>216</v>
      </c>
      <c r="B14" s="27">
        <f>6272*1000</f>
        <v>6272000</v>
      </c>
      <c r="C14" s="26" t="s">
        <v>225</v>
      </c>
    </row>
    <row r="15" spans="1:8" ht="15.75" thickBot="1" x14ac:dyDescent="0.3">
      <c r="A15" s="28" t="s">
        <v>219</v>
      </c>
      <c r="B15" s="29">
        <f>12375*600</f>
        <v>7425000</v>
      </c>
      <c r="C15" s="28" t="s">
        <v>226</v>
      </c>
    </row>
    <row r="16" spans="1:8" x14ac:dyDescent="0.25">
      <c r="B16" s="17">
        <f>SUM(B13:B15)</f>
        <v>16847000</v>
      </c>
    </row>
  </sheetData>
  <mergeCells count="2">
    <mergeCell ref="H4:H5"/>
    <mergeCell ref="G4:G5"/>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workbookViewId="0">
      <selection activeCell="F17" sqref="F17"/>
    </sheetView>
  </sheetViews>
  <sheetFormatPr defaultRowHeight="15" x14ac:dyDescent="0.25"/>
  <cols>
    <col min="1" max="1" width="32.42578125" bestFit="1" customWidth="1"/>
    <col min="2" max="2" width="15.28515625" bestFit="1" customWidth="1"/>
    <col min="3" max="3" width="16.5703125" customWidth="1"/>
    <col min="4" max="4" width="14.28515625" bestFit="1" customWidth="1"/>
    <col min="5" max="5" width="13.140625" bestFit="1" customWidth="1"/>
    <col min="6" max="6" width="20.42578125" bestFit="1" customWidth="1"/>
    <col min="7" max="7" width="10.5703125" bestFit="1" customWidth="1"/>
  </cols>
  <sheetData>
    <row r="2" spans="1:5" x14ac:dyDescent="0.25">
      <c r="A2" s="6" t="s">
        <v>227</v>
      </c>
    </row>
    <row r="4" spans="1:5" x14ac:dyDescent="0.25">
      <c r="A4" t="s">
        <v>181</v>
      </c>
    </row>
    <row r="5" spans="1:5" ht="15.75" thickBot="1" x14ac:dyDescent="0.3"/>
    <row r="6" spans="1:5" ht="60" customHeight="1" x14ac:dyDescent="0.25">
      <c r="A6" s="47" t="s">
        <v>87</v>
      </c>
      <c r="B6" s="80" t="s">
        <v>228</v>
      </c>
      <c r="C6" s="82" t="s">
        <v>88</v>
      </c>
      <c r="D6" s="50"/>
      <c r="E6" s="155" t="s">
        <v>89</v>
      </c>
    </row>
    <row r="7" spans="1:5" ht="15.75" thickBot="1" x14ac:dyDescent="0.3">
      <c r="A7" s="73" t="s">
        <v>90</v>
      </c>
      <c r="B7" s="74" t="s">
        <v>229</v>
      </c>
      <c r="C7" s="75" t="s">
        <v>51</v>
      </c>
      <c r="D7" s="75" t="s">
        <v>52</v>
      </c>
      <c r="E7" s="157"/>
    </row>
    <row r="8" spans="1:5" x14ac:dyDescent="0.25">
      <c r="A8" s="24" t="s">
        <v>230</v>
      </c>
      <c r="B8" s="25">
        <v>30</v>
      </c>
      <c r="C8" s="24" t="s">
        <v>231</v>
      </c>
      <c r="D8" s="25">
        <v>2000</v>
      </c>
      <c r="E8" s="25">
        <f>B8*1000000/D8</f>
        <v>15000</v>
      </c>
    </row>
    <row r="9" spans="1:5" x14ac:dyDescent="0.25">
      <c r="A9" s="26" t="s">
        <v>232</v>
      </c>
      <c r="B9" s="27">
        <v>100</v>
      </c>
      <c r="C9" s="26" t="s">
        <v>233</v>
      </c>
      <c r="D9" s="27">
        <v>500</v>
      </c>
      <c r="E9" s="27">
        <f t="shared" ref="E9:E10" si="0">B9*1000000/D9</f>
        <v>200000</v>
      </c>
    </row>
    <row r="10" spans="1:5" ht="15.75" thickBot="1" x14ac:dyDescent="0.3">
      <c r="A10" s="28" t="s">
        <v>234</v>
      </c>
      <c r="B10" s="29">
        <v>200</v>
      </c>
      <c r="C10" s="28" t="s">
        <v>235</v>
      </c>
      <c r="D10" s="29">
        <v>8000000</v>
      </c>
      <c r="E10" s="29">
        <f t="shared" si="0"/>
        <v>25</v>
      </c>
    </row>
    <row r="11" spans="1:5" ht="15.75" thickBot="1" x14ac:dyDescent="0.3">
      <c r="B11" s="30">
        <f>SUM(B8:B10)</f>
        <v>330</v>
      </c>
      <c r="C11" s="17"/>
      <c r="D11" s="17"/>
    </row>
    <row r="12" spans="1:5" ht="15.75" thickTop="1" x14ac:dyDescent="0.25"/>
    <row r="13" spans="1:5" ht="15.75" thickBot="1" x14ac:dyDescent="0.3"/>
    <row r="14" spans="1:5" ht="30.75" thickBot="1" x14ac:dyDescent="0.3">
      <c r="A14" s="83" t="s">
        <v>222</v>
      </c>
      <c r="B14" s="84" t="s">
        <v>236</v>
      </c>
      <c r="C14" s="84" t="s">
        <v>237</v>
      </c>
    </row>
    <row r="15" spans="1:5" x14ac:dyDescent="0.25">
      <c r="A15" s="24" t="s">
        <v>230</v>
      </c>
      <c r="B15" s="25">
        <f>15000*120/1000000</f>
        <v>1.8</v>
      </c>
      <c r="C15" s="25">
        <f>15000*250/1000000</f>
        <v>3.75</v>
      </c>
    </row>
    <row r="16" spans="1:5" x14ac:dyDescent="0.25">
      <c r="A16" s="26"/>
      <c r="B16" s="34" t="s">
        <v>238</v>
      </c>
      <c r="C16" s="60" t="s">
        <v>239</v>
      </c>
    </row>
    <row r="17" spans="1:3" x14ac:dyDescent="0.25">
      <c r="A17" s="26" t="s">
        <v>232</v>
      </c>
      <c r="B17" s="27">
        <f>200000*50/1000000</f>
        <v>10</v>
      </c>
      <c r="C17" s="27">
        <f>200000*190/1000000</f>
        <v>38</v>
      </c>
    </row>
    <row r="18" spans="1:3" x14ac:dyDescent="0.25">
      <c r="A18" s="26"/>
      <c r="B18" s="34" t="s">
        <v>240</v>
      </c>
      <c r="C18" s="60" t="s">
        <v>241</v>
      </c>
    </row>
    <row r="19" spans="1:3" x14ac:dyDescent="0.25">
      <c r="A19" s="26" t="s">
        <v>234</v>
      </c>
      <c r="B19" s="27">
        <f>25*300000/1000000</f>
        <v>7.5</v>
      </c>
      <c r="C19" s="26">
        <f>25*1.4</f>
        <v>35</v>
      </c>
    </row>
    <row r="20" spans="1:3" ht="45.75" thickBot="1" x14ac:dyDescent="0.3">
      <c r="A20" s="28"/>
      <c r="B20" s="86" t="s">
        <v>242</v>
      </c>
      <c r="C20" s="86" t="s">
        <v>243</v>
      </c>
    </row>
    <row r="21" spans="1:3" ht="15.75" thickBot="1" x14ac:dyDescent="0.3">
      <c r="A21" s="65" t="s">
        <v>244</v>
      </c>
      <c r="B21" s="87">
        <f>B15+B17+B19</f>
        <v>19.3</v>
      </c>
      <c r="C21" s="87">
        <f>C15+C17+C19</f>
        <v>76.75</v>
      </c>
    </row>
    <row r="22" spans="1:3" ht="15.75" thickTop="1" x14ac:dyDescent="0.25"/>
    <row r="24" spans="1:3" x14ac:dyDescent="0.25">
      <c r="B24" s="88" t="s">
        <v>236</v>
      </c>
      <c r="C24" s="88" t="s">
        <v>237</v>
      </c>
    </row>
    <row r="25" spans="1:3" x14ac:dyDescent="0.25">
      <c r="A25" t="s">
        <v>40</v>
      </c>
      <c r="B25" s="4">
        <v>400</v>
      </c>
      <c r="C25" s="4">
        <v>800</v>
      </c>
    </row>
    <row r="26" spans="1:3" x14ac:dyDescent="0.25">
      <c r="A26" t="s">
        <v>245</v>
      </c>
      <c r="B26" s="90">
        <f>+B21</f>
        <v>19.3</v>
      </c>
      <c r="C26" s="90">
        <f>+C21</f>
        <v>76.75</v>
      </c>
    </row>
    <row r="27" spans="1:3" x14ac:dyDescent="0.25">
      <c r="A27" t="s">
        <v>161</v>
      </c>
      <c r="B27" s="17">
        <f>SUM(B25:B26)</f>
        <v>419.3</v>
      </c>
      <c r="C27" s="17">
        <f>SUM(C25:C26)</f>
        <v>876.75</v>
      </c>
    </row>
    <row r="28" spans="1:3" x14ac:dyDescent="0.25">
      <c r="A28" t="s">
        <v>246</v>
      </c>
      <c r="B28">
        <f>+B27*0.1</f>
        <v>41.930000000000007</v>
      </c>
      <c r="C28" s="4">
        <f>+C27*0.1</f>
        <v>87.675000000000011</v>
      </c>
    </row>
    <row r="29" spans="1:3" ht="15.75" thickBot="1" x14ac:dyDescent="0.3">
      <c r="A29" s="2" t="s">
        <v>247</v>
      </c>
      <c r="B29" s="18">
        <f>SUM(B27:B28)</f>
        <v>461.23</v>
      </c>
      <c r="C29" s="18">
        <f>SUM(C27:C28)</f>
        <v>964.42499999999995</v>
      </c>
    </row>
    <row r="30" spans="1:3" ht="15.75" thickTop="1" x14ac:dyDescent="0.25"/>
    <row r="32" spans="1:3" x14ac:dyDescent="0.25">
      <c r="A32" t="s">
        <v>131</v>
      </c>
    </row>
    <row r="33" spans="1:3" x14ac:dyDescent="0.25">
      <c r="B33" s="88" t="s">
        <v>236</v>
      </c>
      <c r="C33" s="88" t="s">
        <v>237</v>
      </c>
    </row>
    <row r="34" spans="1:3" x14ac:dyDescent="0.25">
      <c r="A34" t="s">
        <v>248</v>
      </c>
      <c r="B34" s="4">
        <v>506</v>
      </c>
      <c r="C34" s="4">
        <v>1012</v>
      </c>
    </row>
    <row r="35" spans="1:3" x14ac:dyDescent="0.25">
      <c r="A35" t="s">
        <v>247</v>
      </c>
      <c r="B35" s="17">
        <f>+B29</f>
        <v>461.23</v>
      </c>
      <c r="C35" s="17">
        <f>+C29</f>
        <v>964.42499999999995</v>
      </c>
    </row>
    <row r="36" spans="1:3" ht="15.75" thickBot="1" x14ac:dyDescent="0.3">
      <c r="A36" t="s">
        <v>249</v>
      </c>
      <c r="B36" s="36">
        <f>B34-B35</f>
        <v>44.769999999999982</v>
      </c>
      <c r="C36" s="36">
        <f>C34-C35</f>
        <v>47.575000000000045</v>
      </c>
    </row>
    <row r="37" spans="1:3" ht="15.75" thickTop="1" x14ac:dyDescent="0.25">
      <c r="B37" s="71">
        <f>B36/B34</f>
        <v>8.8478260869565187E-2</v>
      </c>
      <c r="C37" s="71">
        <f>C36/C34</f>
        <v>4.7010869565217439E-2</v>
      </c>
    </row>
  </sheetData>
  <mergeCells count="1">
    <mergeCell ref="E6:E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G21" sqref="G21"/>
    </sheetView>
  </sheetViews>
  <sheetFormatPr defaultRowHeight="15" x14ac:dyDescent="0.25"/>
  <cols>
    <col min="1" max="1" width="24" customWidth="1"/>
    <col min="2" max="2" width="19.5703125" customWidth="1"/>
    <col min="3" max="3" width="9.5703125" bestFit="1" customWidth="1"/>
    <col min="4" max="4" width="18.28515625" bestFit="1" customWidth="1"/>
    <col min="5" max="5" width="13.28515625" bestFit="1" customWidth="1"/>
    <col min="6" max="6" width="10.5703125" bestFit="1" customWidth="1"/>
    <col min="7" max="7" width="14.42578125" customWidth="1"/>
    <col min="8" max="8" width="14.28515625" bestFit="1" customWidth="1"/>
  </cols>
  <sheetData>
    <row r="2" spans="1:3" x14ac:dyDescent="0.25">
      <c r="A2" s="6" t="s">
        <v>250</v>
      </c>
    </row>
    <row r="4" spans="1:3" x14ac:dyDescent="0.25">
      <c r="A4" t="s">
        <v>131</v>
      </c>
    </row>
    <row r="6" spans="1:3" x14ac:dyDescent="0.25">
      <c r="A6" s="6" t="s">
        <v>251</v>
      </c>
      <c r="C6" s="92" t="s">
        <v>252</v>
      </c>
    </row>
    <row r="8" spans="1:3" x14ac:dyDescent="0.25">
      <c r="A8" t="s">
        <v>253</v>
      </c>
      <c r="C8" s="4">
        <v>3000</v>
      </c>
    </row>
    <row r="9" spans="1:3" x14ac:dyDescent="0.25">
      <c r="A9" t="s">
        <v>254</v>
      </c>
      <c r="C9" s="4">
        <v>600</v>
      </c>
    </row>
    <row r="10" spans="1:3" x14ac:dyDescent="0.25">
      <c r="A10" t="s">
        <v>255</v>
      </c>
      <c r="C10" s="90">
        <v>400</v>
      </c>
    </row>
    <row r="11" spans="1:3" x14ac:dyDescent="0.25">
      <c r="A11" s="2" t="s">
        <v>81</v>
      </c>
      <c r="B11" s="2"/>
      <c r="C11" s="89">
        <f>SUM(C8:C10)</f>
        <v>4000</v>
      </c>
    </row>
    <row r="12" spans="1:3" x14ac:dyDescent="0.25">
      <c r="A12" t="s">
        <v>256</v>
      </c>
      <c r="B12" s="91" t="s">
        <v>257</v>
      </c>
      <c r="C12" s="4">
        <f>30000000/500*100/10000</f>
        <v>600</v>
      </c>
    </row>
    <row r="13" spans="1:3" ht="15.75" thickBot="1" x14ac:dyDescent="0.3">
      <c r="A13" s="65" t="s">
        <v>161</v>
      </c>
      <c r="B13" s="65"/>
      <c r="C13" s="36">
        <f>SUM(C11:C12)</f>
        <v>4600</v>
      </c>
    </row>
    <row r="14" spans="1:3" ht="15.75" thickTop="1" x14ac:dyDescent="0.25"/>
    <row r="16" spans="1:3" x14ac:dyDescent="0.25">
      <c r="A16" s="6" t="s">
        <v>258</v>
      </c>
      <c r="C16" s="92" t="s">
        <v>252</v>
      </c>
    </row>
    <row r="18" spans="1:8" x14ac:dyDescent="0.25">
      <c r="A18" t="s">
        <v>253</v>
      </c>
      <c r="C18" s="4">
        <v>3000</v>
      </c>
    </row>
    <row r="19" spans="1:8" x14ac:dyDescent="0.25">
      <c r="A19" t="s">
        <v>254</v>
      </c>
      <c r="C19" s="4">
        <v>600</v>
      </c>
    </row>
    <row r="20" spans="1:8" x14ac:dyDescent="0.25">
      <c r="A20" t="s">
        <v>255</v>
      </c>
      <c r="C20" s="90">
        <v>400</v>
      </c>
    </row>
    <row r="21" spans="1:8" x14ac:dyDescent="0.25">
      <c r="A21" s="2" t="s">
        <v>81</v>
      </c>
      <c r="B21" s="2"/>
      <c r="C21" s="89">
        <f>SUM(C18:C20)</f>
        <v>4000</v>
      </c>
    </row>
    <row r="22" spans="1:8" x14ac:dyDescent="0.25">
      <c r="A22" t="s">
        <v>256</v>
      </c>
      <c r="B22" s="91" t="s">
        <v>259</v>
      </c>
      <c r="C22" s="4">
        <f>10800000/10000</f>
        <v>1080</v>
      </c>
    </row>
    <row r="23" spans="1:8" ht="15.75" thickBot="1" x14ac:dyDescent="0.3">
      <c r="A23" s="65" t="s">
        <v>161</v>
      </c>
      <c r="B23" s="65"/>
      <c r="C23" s="36">
        <f>SUM(C21:C22)</f>
        <v>5080</v>
      </c>
    </row>
    <row r="24" spans="1:8" ht="15.75" thickTop="1" x14ac:dyDescent="0.25"/>
    <row r="25" spans="1:8" ht="15.75" thickBot="1" x14ac:dyDescent="0.3"/>
    <row r="26" spans="1:8" ht="60" x14ac:dyDescent="0.25">
      <c r="A26" s="47" t="s">
        <v>87</v>
      </c>
      <c r="B26" s="80" t="s">
        <v>228</v>
      </c>
      <c r="C26" s="80" t="s">
        <v>228</v>
      </c>
      <c r="D26" s="82" t="s">
        <v>88</v>
      </c>
      <c r="E26" s="50"/>
      <c r="F26" s="51" t="s">
        <v>89</v>
      </c>
      <c r="G26" s="167" t="s">
        <v>260</v>
      </c>
      <c r="H26" s="167"/>
    </row>
    <row r="27" spans="1:8" x14ac:dyDescent="0.25">
      <c r="A27" s="52" t="s">
        <v>90</v>
      </c>
      <c r="B27" s="53" t="s">
        <v>229</v>
      </c>
      <c r="C27" s="53" t="s">
        <v>229</v>
      </c>
      <c r="D27" s="54" t="s">
        <v>51</v>
      </c>
      <c r="E27" s="54" t="s">
        <v>52</v>
      </c>
      <c r="F27" s="56"/>
      <c r="G27" s="97" t="s">
        <v>52</v>
      </c>
      <c r="H27" s="97" t="s">
        <v>261</v>
      </c>
    </row>
    <row r="28" spans="1:8" x14ac:dyDescent="0.25">
      <c r="A28" s="26" t="s">
        <v>262</v>
      </c>
      <c r="B28" s="95" t="s">
        <v>263</v>
      </c>
      <c r="C28" s="27">
        <f>30*0.2</f>
        <v>6</v>
      </c>
      <c r="D28" s="26" t="s">
        <v>264</v>
      </c>
      <c r="E28" s="27">
        <v>3000</v>
      </c>
      <c r="F28" s="27">
        <f>C28*1000000/E28</f>
        <v>2000</v>
      </c>
      <c r="G28" s="27">
        <v>1200</v>
      </c>
      <c r="H28" s="27">
        <f>F28*G28</f>
        <v>2400000</v>
      </c>
    </row>
    <row r="29" spans="1:8" x14ac:dyDescent="0.25">
      <c r="A29" s="26" t="s">
        <v>265</v>
      </c>
      <c r="B29" s="95" t="s">
        <v>266</v>
      </c>
      <c r="C29" s="27">
        <f>30*0.4</f>
        <v>12</v>
      </c>
      <c r="D29" s="26" t="s">
        <v>21</v>
      </c>
      <c r="E29" s="27">
        <v>40000</v>
      </c>
      <c r="F29" s="27">
        <f t="shared" ref="F29:F30" si="0">C29*1000000/E29</f>
        <v>300</v>
      </c>
      <c r="G29" s="27">
        <v>20000</v>
      </c>
      <c r="H29" s="27">
        <f t="shared" ref="H29:H30" si="1">F29*G29</f>
        <v>6000000</v>
      </c>
    </row>
    <row r="30" spans="1:8" ht="15.75" thickBot="1" x14ac:dyDescent="0.3">
      <c r="A30" s="28" t="s">
        <v>267</v>
      </c>
      <c r="B30" s="96" t="s">
        <v>266</v>
      </c>
      <c r="C30" s="29">
        <f>30*0.4</f>
        <v>12</v>
      </c>
      <c r="D30" s="28" t="s">
        <v>22</v>
      </c>
      <c r="E30" s="29">
        <v>500</v>
      </c>
      <c r="F30" s="29">
        <f t="shared" si="0"/>
        <v>24000</v>
      </c>
      <c r="G30" s="29">
        <v>100</v>
      </c>
      <c r="H30" s="85">
        <f t="shared" si="1"/>
        <v>2400000</v>
      </c>
    </row>
    <row r="31" spans="1:8" ht="15.75" thickBot="1" x14ac:dyDescent="0.3">
      <c r="C31" s="94">
        <f>SUM(C28:C30)</f>
        <v>30</v>
      </c>
      <c r="D31" s="17"/>
      <c r="E31" s="17"/>
      <c r="H31" s="93">
        <f>SUM(H28:H30)</f>
        <v>10800000</v>
      </c>
    </row>
    <row r="32" spans="1:8" ht="15.75" thickTop="1" x14ac:dyDescent="0.25"/>
  </sheetData>
  <mergeCells count="1">
    <mergeCell ref="G26:H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workbookViewId="0">
      <selection activeCell="G23" sqref="G23"/>
    </sheetView>
  </sheetViews>
  <sheetFormatPr defaultRowHeight="15" x14ac:dyDescent="0.25"/>
  <cols>
    <col min="1" max="1" width="33.42578125" customWidth="1"/>
    <col min="2" max="3" width="18.42578125" customWidth="1"/>
    <col min="4" max="4" width="15.42578125" customWidth="1"/>
    <col min="5" max="5" width="12.7109375" customWidth="1"/>
  </cols>
  <sheetData>
    <row r="2" spans="1:7" x14ac:dyDescent="0.25">
      <c r="A2" s="6" t="s">
        <v>268</v>
      </c>
      <c r="B2" s="3"/>
      <c r="C2" s="3"/>
    </row>
    <row r="3" spans="1:7" x14ac:dyDescent="0.25">
      <c r="A3" t="s">
        <v>192</v>
      </c>
      <c r="B3" s="98" t="s">
        <v>269</v>
      </c>
      <c r="C3" s="98" t="s">
        <v>270</v>
      </c>
    </row>
    <row r="4" spans="1:7" x14ac:dyDescent="0.25">
      <c r="A4" t="s">
        <v>183</v>
      </c>
      <c r="B4" s="99">
        <v>1500</v>
      </c>
      <c r="C4" s="99">
        <v>810</v>
      </c>
    </row>
    <row r="5" spans="1:7" x14ac:dyDescent="0.25">
      <c r="A5" s="6" t="s">
        <v>271</v>
      </c>
      <c r="B5" s="3"/>
      <c r="C5" s="3"/>
      <c r="G5" s="4" t="s">
        <v>272</v>
      </c>
    </row>
    <row r="6" spans="1:7" x14ac:dyDescent="0.25">
      <c r="A6" t="s">
        <v>273</v>
      </c>
      <c r="B6" s="100">
        <f>E14*24/1000</f>
        <v>120</v>
      </c>
      <c r="C6" s="99">
        <f>5000*12/1000</f>
        <v>60</v>
      </c>
    </row>
    <row r="7" spans="1:7" x14ac:dyDescent="0.25">
      <c r="A7" t="s">
        <v>186</v>
      </c>
      <c r="B7" s="99">
        <f>2000*75/1000</f>
        <v>150</v>
      </c>
      <c r="C7" s="99">
        <f>2000*20/1000</f>
        <v>40</v>
      </c>
    </row>
    <row r="8" spans="1:7" x14ac:dyDescent="0.25">
      <c r="A8" t="s">
        <v>159</v>
      </c>
      <c r="B8" s="99">
        <f>10000*45/1000</f>
        <v>450</v>
      </c>
      <c r="C8" s="99">
        <f>10000*15/1000</f>
        <v>150</v>
      </c>
    </row>
    <row r="9" spans="1:7" x14ac:dyDescent="0.25">
      <c r="A9" t="s">
        <v>187</v>
      </c>
      <c r="B9" s="99">
        <f>40000*5/1000</f>
        <v>200</v>
      </c>
      <c r="C9" s="99">
        <v>0</v>
      </c>
    </row>
    <row r="10" spans="1:7" x14ac:dyDescent="0.25">
      <c r="A10" t="s">
        <v>161</v>
      </c>
      <c r="B10" s="101">
        <f>SUM(B6:B9)</f>
        <v>920</v>
      </c>
      <c r="C10" s="101">
        <f>SUM(C6:C9)</f>
        <v>250</v>
      </c>
    </row>
    <row r="11" spans="1:7" ht="15.75" thickBot="1" x14ac:dyDescent="0.3">
      <c r="A11" s="65" t="s">
        <v>154</v>
      </c>
      <c r="B11" s="102">
        <f>B4-B10</f>
        <v>580</v>
      </c>
      <c r="C11" s="102">
        <f>C4-C10</f>
        <v>560</v>
      </c>
    </row>
    <row r="12" spans="1:7" ht="15.75" thickTop="1" x14ac:dyDescent="0.25"/>
    <row r="13" spans="1:7" x14ac:dyDescent="0.25">
      <c r="A13" s="6" t="s">
        <v>274</v>
      </c>
      <c r="B13" s="16" t="s">
        <v>275</v>
      </c>
      <c r="C13" s="6" t="s">
        <v>274</v>
      </c>
      <c r="D13" s="6" t="s">
        <v>276</v>
      </c>
      <c r="E13" s="6" t="s">
        <v>277</v>
      </c>
    </row>
    <row r="14" spans="1:7" x14ac:dyDescent="0.25">
      <c r="A14" t="s">
        <v>273</v>
      </c>
      <c r="B14" s="4">
        <v>1000</v>
      </c>
      <c r="C14" t="s">
        <v>278</v>
      </c>
      <c r="D14" s="4">
        <v>200</v>
      </c>
      <c r="E14" s="4">
        <f>B14/D14*1000</f>
        <v>5000</v>
      </c>
    </row>
    <row r="15" spans="1:7" x14ac:dyDescent="0.25">
      <c r="A15" t="s">
        <v>186</v>
      </c>
      <c r="B15" s="4">
        <v>1400</v>
      </c>
      <c r="C15" t="s">
        <v>63</v>
      </c>
      <c r="D15" s="4">
        <v>700</v>
      </c>
      <c r="E15" s="4">
        <f t="shared" ref="E15:E17" si="0">B15/D15*1000</f>
        <v>2000</v>
      </c>
    </row>
    <row r="16" spans="1:7" x14ac:dyDescent="0.25">
      <c r="A16" t="s">
        <v>159</v>
      </c>
      <c r="B16" s="4">
        <v>2400</v>
      </c>
      <c r="C16" t="s">
        <v>279</v>
      </c>
      <c r="D16" s="4">
        <v>240</v>
      </c>
      <c r="E16" s="4">
        <f t="shared" si="0"/>
        <v>10000</v>
      </c>
    </row>
    <row r="17" spans="1:5" x14ac:dyDescent="0.25">
      <c r="A17" t="s">
        <v>187</v>
      </c>
      <c r="B17" s="4">
        <v>1200</v>
      </c>
      <c r="C17" t="s">
        <v>280</v>
      </c>
      <c r="D17" s="4">
        <v>30</v>
      </c>
      <c r="E17" s="4">
        <f t="shared" si="0"/>
        <v>40000</v>
      </c>
    </row>
    <row r="18" spans="1:5" x14ac:dyDescent="0.25">
      <c r="B18" s="17">
        <f>SUM(B14:B17)</f>
        <v>6000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705111C6CE9A4D9A32EDD3CE4225B6" ma:contentTypeVersion="2" ma:contentTypeDescription="Create a new document." ma:contentTypeScope="" ma:versionID="65a55d3207c9bb9e6d7f68b455286c2a">
  <xsd:schema xmlns:xsd="http://www.w3.org/2001/XMLSchema" xmlns:xs="http://www.w3.org/2001/XMLSchema" xmlns:p="http://schemas.microsoft.com/office/2006/metadata/properties" xmlns:ns2="894abf72-65ba-408b-9569-bc5346983487" targetNamespace="http://schemas.microsoft.com/office/2006/metadata/properties" ma:root="true" ma:fieldsID="82607859529cf660e07889a740458c09" ns2:_="">
    <xsd:import namespace="894abf72-65ba-408b-9569-bc534698348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abf72-65ba-408b-9569-bc53469834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91DE6-EFEA-4445-B2FE-D1C88D15A05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B4A7A35-B3C5-417B-A4BB-74268B816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abf72-65ba-408b-9569-bc5346983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7AD883-48F6-49BF-8B1F-7B3456FF8C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Sheet1</vt:lpstr>
      <vt:lpstr>E1</vt:lpstr>
      <vt:lpstr>E2</vt:lpstr>
      <vt:lpstr>E3</vt:lpstr>
      <vt:lpstr>E4</vt:lpstr>
      <vt:lpstr>Q1</vt:lpstr>
      <vt:lpstr>Q3</vt:lpstr>
      <vt:lpstr>Q4</vt:lpstr>
      <vt:lpstr>Q5</vt:lpstr>
      <vt:lpstr>Q6</vt:lpstr>
      <vt:lpstr>2021 Dec Q2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2022-10-04T08:08:13Z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0x01010087705111C6CE9A4D9A32EDD3CE4225B6</vt:lpwstr>
  </property>
</Properties>
</file>