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DQ\Desktop\AMA II\CL\AMA\"/>
    </mc:Choice>
  </mc:AlternateContent>
  <bookViews>
    <workbookView xWindow="0" yWindow="0" windowWidth="20490" windowHeight="7755" activeTab="6"/>
  </bookViews>
  <sheets>
    <sheet name="E1" sheetId="1" r:id="rId1"/>
    <sheet name="E2" sheetId="2" r:id="rId2"/>
    <sheet name="E3" sheetId="3" r:id="rId3"/>
    <sheet name="E4" sheetId="4" r:id="rId4"/>
    <sheet name="Sheet2" sheetId="9" r:id="rId5"/>
    <sheet name="E6" sheetId="7" r:id="rId6"/>
    <sheet name="2020 Dec Q3" sheetId="8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0" i="9" l="1"/>
  <c r="C29" i="9"/>
  <c r="D35" i="9"/>
  <c r="D34" i="9"/>
  <c r="F35" i="9"/>
  <c r="F34" i="9"/>
  <c r="C28" i="9"/>
  <c r="C12" i="9"/>
  <c r="C11" i="9"/>
  <c r="C10" i="9"/>
  <c r="F17" i="9"/>
  <c r="F16" i="9"/>
  <c r="D16" i="9"/>
  <c r="F15" i="9"/>
  <c r="D15" i="9"/>
  <c r="C9" i="9"/>
  <c r="E5" i="7"/>
  <c r="F5" i="7" s="1"/>
  <c r="D6" i="7"/>
  <c r="D7" i="7" s="1"/>
  <c r="D8" i="7" s="1"/>
  <c r="D9" i="7" s="1"/>
  <c r="D10" i="7" s="1"/>
  <c r="D57" i="4"/>
  <c r="D58" i="4" s="1"/>
  <c r="D59" i="4" s="1"/>
  <c r="C64" i="4"/>
  <c r="C63" i="4"/>
  <c r="C57" i="4"/>
  <c r="C56" i="4"/>
  <c r="D56" i="4" s="1"/>
  <c r="B58" i="4"/>
  <c r="B52" i="4"/>
  <c r="C36" i="4"/>
  <c r="C35" i="4"/>
  <c r="C34" i="4"/>
  <c r="C27" i="4"/>
  <c r="D27" i="4" s="1"/>
  <c r="B29" i="4"/>
  <c r="B23" i="4"/>
  <c r="C28" i="4" s="1"/>
  <c r="D28" i="4" s="1"/>
  <c r="B15" i="4"/>
  <c r="B31" i="3"/>
  <c r="B25" i="3"/>
  <c r="C30" i="3" s="1"/>
  <c r="D30" i="3" s="1"/>
  <c r="B16" i="3"/>
  <c r="C29" i="3" s="1"/>
  <c r="D29" i="3" s="1"/>
  <c r="I18" i="1"/>
  <c r="I10" i="1"/>
  <c r="G18" i="2"/>
  <c r="G19" i="2" s="1"/>
  <c r="G20" i="2" s="1"/>
  <c r="G17" i="2"/>
  <c r="C19" i="2"/>
  <c r="C20" i="2" s="1"/>
  <c r="C18" i="2"/>
  <c r="C7" i="2"/>
  <c r="E7" i="2" s="1"/>
  <c r="C5" i="2"/>
  <c r="B7" i="2"/>
  <c r="B9" i="2" s="1"/>
  <c r="H38" i="1"/>
  <c r="H37" i="1"/>
  <c r="C38" i="1"/>
  <c r="C39" i="1" s="1"/>
  <c r="C37" i="1"/>
  <c r="C28" i="1"/>
  <c r="C29" i="1" s="1"/>
  <c r="F36" i="9" l="1"/>
  <c r="B11" i="2"/>
  <c r="C11" i="2" s="1"/>
  <c r="C9" i="2"/>
  <c r="E9" i="2" s="1"/>
  <c r="F9" i="2" s="1"/>
  <c r="D31" i="3"/>
  <c r="D32" i="3" s="1"/>
  <c r="H39" i="1"/>
  <c r="H40" i="1" s="1"/>
  <c r="H42" i="1" s="1"/>
  <c r="E6" i="7"/>
  <c r="C65" i="4"/>
  <c r="D29" i="4"/>
  <c r="D30" i="4" s="1"/>
  <c r="C40" i="1"/>
  <c r="C42" i="1" s="1"/>
  <c r="C30" i="1"/>
  <c r="C32" i="1" s="1"/>
  <c r="C31" i="9" l="1"/>
  <c r="H43" i="1"/>
  <c r="H44" i="1"/>
  <c r="F6" i="7"/>
  <c r="G6" i="7" s="1"/>
  <c r="E7" i="7"/>
  <c r="C43" i="1"/>
  <c r="C44" i="1" s="1"/>
  <c r="E11" i="2"/>
  <c r="F11" i="2" s="1"/>
  <c r="C20" i="1"/>
  <c r="F13" i="1"/>
  <c r="E13" i="1"/>
  <c r="E11" i="1"/>
  <c r="F11" i="1" s="1"/>
  <c r="E9" i="1"/>
  <c r="F9" i="1" s="1"/>
  <c r="E7" i="1"/>
  <c r="C11" i="1"/>
  <c r="C9" i="1"/>
  <c r="C7" i="1"/>
  <c r="B11" i="1"/>
  <c r="B13" i="1" s="1"/>
  <c r="C13" i="1" s="1"/>
  <c r="B9" i="1"/>
  <c r="C22" i="1" l="1"/>
  <c r="C21" i="1"/>
  <c r="F7" i="7"/>
  <c r="G7" i="7" s="1"/>
  <c r="E8" i="7"/>
  <c r="E9" i="7" l="1"/>
  <c r="F8" i="7"/>
  <c r="G8" i="7" s="1"/>
  <c r="E10" i="7" l="1"/>
  <c r="F10" i="7" s="1"/>
  <c r="G10" i="7" s="1"/>
  <c r="F9" i="7"/>
  <c r="G9" i="7" s="1"/>
</calcChain>
</file>

<file path=xl/sharedStrings.xml><?xml version="1.0" encoding="utf-8"?>
<sst xmlns="http://schemas.openxmlformats.org/spreadsheetml/2006/main" count="265" uniqueCount="184">
  <si>
    <t>Exercise 1</t>
  </si>
  <si>
    <t>No. of boats</t>
  </si>
  <si>
    <t>Cumulative Ave Time per boat (Hrs)</t>
  </si>
  <si>
    <t>800*80%</t>
  </si>
  <si>
    <t>640*80%</t>
  </si>
  <si>
    <t>512*80%</t>
  </si>
  <si>
    <t>409.6*80%</t>
  </si>
  <si>
    <t>Total Time for Boats Hrs</t>
  </si>
  <si>
    <t>800*1</t>
  </si>
  <si>
    <t>640*2</t>
  </si>
  <si>
    <t>512*4</t>
  </si>
  <si>
    <t>409.6*8</t>
  </si>
  <si>
    <t>327.68*16</t>
  </si>
  <si>
    <t>Incremental No. of boats</t>
  </si>
  <si>
    <t>Incremental time for additonal boats (Hrs)</t>
  </si>
  <si>
    <t>1,280-800</t>
  </si>
  <si>
    <t>2,048-1,280</t>
  </si>
  <si>
    <t>3,276.8-2,048</t>
  </si>
  <si>
    <t>5,242.88-3,276.8</t>
  </si>
  <si>
    <t>Incremental Average time per boat (Hrs)</t>
  </si>
  <si>
    <t>480/1</t>
  </si>
  <si>
    <t>768/2</t>
  </si>
  <si>
    <t>1,228.8/4</t>
  </si>
  <si>
    <t>1,966.08/8</t>
  </si>
  <si>
    <t>a) Cost of the 02nd boat</t>
  </si>
  <si>
    <t>Material</t>
  </si>
  <si>
    <t>Rs.Mn</t>
  </si>
  <si>
    <t>Labour</t>
  </si>
  <si>
    <t>480*5,000</t>
  </si>
  <si>
    <t>Overhead</t>
  </si>
  <si>
    <t>2.4*150%</t>
  </si>
  <si>
    <t>Production cost</t>
  </si>
  <si>
    <t>b) Cost of the 03rd and 4th boat, if they were ordered seperately</t>
  </si>
  <si>
    <t>Rs.5Mn*2Nos</t>
  </si>
  <si>
    <t>768Hrs*Rs.5,000</t>
  </si>
  <si>
    <t>3.84*150%</t>
  </si>
  <si>
    <t>for both</t>
  </si>
  <si>
    <t>Cost per boat</t>
  </si>
  <si>
    <t>19.6/2</t>
  </si>
  <si>
    <t>c) unit price if 4 boats ordered at once</t>
  </si>
  <si>
    <t>c) unit price if 8 boats ordered at once</t>
  </si>
  <si>
    <t>Rs.5Mn*4Nos</t>
  </si>
  <si>
    <t>2,048Hrs*Rs.5,000</t>
  </si>
  <si>
    <t>10.24*150%</t>
  </si>
  <si>
    <t>for 4 boats</t>
  </si>
  <si>
    <t>45.6/4</t>
  </si>
  <si>
    <t>Mark-up @ 20%</t>
  </si>
  <si>
    <t>11.4*20%</t>
  </si>
  <si>
    <t>Price per boat</t>
  </si>
  <si>
    <t>Rs.5Mn*8Nos</t>
  </si>
  <si>
    <t>3,276.8Hrs*Rs.5,000</t>
  </si>
  <si>
    <t>16.38*150%</t>
  </si>
  <si>
    <t>for 8 boats</t>
  </si>
  <si>
    <t>80.96/8</t>
  </si>
  <si>
    <t>10.12*20%</t>
  </si>
  <si>
    <t>Exercise 2</t>
  </si>
  <si>
    <t>Cumulative Ave Time per unit (Hrs)</t>
  </si>
  <si>
    <t>500*90%</t>
  </si>
  <si>
    <t>450*90%</t>
  </si>
  <si>
    <t>500*1</t>
  </si>
  <si>
    <t>450*2</t>
  </si>
  <si>
    <t>405*4</t>
  </si>
  <si>
    <t>364.5*8</t>
  </si>
  <si>
    <t>405*90%</t>
  </si>
  <si>
    <t>900-500</t>
  </si>
  <si>
    <t>1,620-900</t>
  </si>
  <si>
    <t>2,916-1,620</t>
  </si>
  <si>
    <t>400/1</t>
  </si>
  <si>
    <t>720/2</t>
  </si>
  <si>
    <t>1,296/4</t>
  </si>
  <si>
    <t>Total Time for units Hrs</t>
  </si>
  <si>
    <t>Incremental No. of units</t>
  </si>
  <si>
    <t>Incremental time for additonal units (Hrs)</t>
  </si>
  <si>
    <t>Incremental Average time per unit (Hrs)</t>
  </si>
  <si>
    <t>Cost of the 01st unit</t>
  </si>
  <si>
    <t>Rs.</t>
  </si>
  <si>
    <t>500Hrs*Rs.5</t>
  </si>
  <si>
    <t>Cost per unit</t>
  </si>
  <si>
    <t>4,500/1</t>
  </si>
  <si>
    <t>Cost of the all 8 units</t>
  </si>
  <si>
    <t>Rs.2,000*8</t>
  </si>
  <si>
    <t>2,916Hrs*Rs.5</t>
  </si>
  <si>
    <t>30,580/8</t>
  </si>
  <si>
    <t>y = ax^b</t>
  </si>
  <si>
    <t>b = log .8/log 2</t>
  </si>
  <si>
    <t>y = 800*8^-0.32192</t>
  </si>
  <si>
    <t>y = 800*16^-0.32192</t>
  </si>
  <si>
    <t>Exercise 3</t>
  </si>
  <si>
    <t>Jan</t>
  </si>
  <si>
    <t>June</t>
  </si>
  <si>
    <t>July</t>
  </si>
  <si>
    <t>?</t>
  </si>
  <si>
    <t>Budgeted Labour cost</t>
  </si>
  <si>
    <t>Learning Rate 80%</t>
  </si>
  <si>
    <t>Step 1</t>
  </si>
  <si>
    <t>Calculate the cumulative average labour cost per unit, for the production of 230 units</t>
  </si>
  <si>
    <t>b= log .8/ log 2</t>
  </si>
  <si>
    <t>y = Rs.120,000*230^-0.32192</t>
  </si>
  <si>
    <t>Calculate the cumulative average labour cost per unit, for the production of 285 units</t>
  </si>
  <si>
    <t>y = Rs.120,000*285^-0.32192</t>
  </si>
  <si>
    <t>Step 2</t>
  </si>
  <si>
    <t>No. of units</t>
  </si>
  <si>
    <t>Ave. Cost per unit</t>
  </si>
  <si>
    <t>Total cost</t>
  </si>
  <si>
    <t>Up to June</t>
  </si>
  <si>
    <t>Up to July</t>
  </si>
  <si>
    <t>In July</t>
  </si>
  <si>
    <t>Cost per unit in July</t>
  </si>
  <si>
    <t>Step 3</t>
  </si>
  <si>
    <t>Exercise 4</t>
  </si>
  <si>
    <t>A)</t>
  </si>
  <si>
    <t>Quarter 1 2 and 3 - Production 50 Units</t>
  </si>
  <si>
    <t>4th Quarter - Prod 10</t>
  </si>
  <si>
    <t>50+10</t>
  </si>
  <si>
    <t>Learning Impact 90%</t>
  </si>
  <si>
    <t>Step 1 - Comulative average time per unit when produce 50 units</t>
  </si>
  <si>
    <t>b= log .9/ log 2</t>
  </si>
  <si>
    <t>y = 10Hrs*50^-0.152</t>
  </si>
  <si>
    <t>Hrs</t>
  </si>
  <si>
    <t>Step 2 - Comulative average time per unit when produce 60 units</t>
  </si>
  <si>
    <t>y = 10Hrs*60^-0.152</t>
  </si>
  <si>
    <t>Up to 3rd q</t>
  </si>
  <si>
    <t>Ave. Hrs per unit</t>
  </si>
  <si>
    <t>Up to 4th q</t>
  </si>
  <si>
    <t>In 4th q</t>
  </si>
  <si>
    <t>Hrs per unit in 4th q</t>
  </si>
  <si>
    <t>4.61Hrs*Rs.9,000</t>
  </si>
  <si>
    <t>Variable OH</t>
  </si>
  <si>
    <t>4.61Hrs*Rs.5,000</t>
  </si>
  <si>
    <t>B)</t>
  </si>
  <si>
    <t>No learning</t>
  </si>
  <si>
    <t xml:space="preserve">Step 1 </t>
  </si>
  <si>
    <t>Cumpulative average time per unit, when we produce 50 units = 5.52Hrs</t>
  </si>
  <si>
    <t xml:space="preserve">Cumpulative average time per unit, when we produce 49 units </t>
  </si>
  <si>
    <t>y = 10Hrs*49^-0.152</t>
  </si>
  <si>
    <t>Hrs taken for 50th unit</t>
  </si>
  <si>
    <t>4.69Hrs*Rs.9,000</t>
  </si>
  <si>
    <t>4.69Hrs*Rs.5,000</t>
  </si>
  <si>
    <t>y=ax^b</t>
  </si>
  <si>
    <t>Total Hrs</t>
  </si>
  <si>
    <t>Exercise 7</t>
  </si>
  <si>
    <t>Month</t>
  </si>
  <si>
    <t>August</t>
  </si>
  <si>
    <t>September</t>
  </si>
  <si>
    <t>October</t>
  </si>
  <si>
    <t>November</t>
  </si>
  <si>
    <t>Incremental no. of batches</t>
  </si>
  <si>
    <t>Incremental labour hours taken to produce batch</t>
  </si>
  <si>
    <t>Cumulative No. of batches</t>
  </si>
  <si>
    <t>Cumulative total hrs</t>
  </si>
  <si>
    <t>Leaning rate</t>
  </si>
  <si>
    <t>Cumulative average hours per batch</t>
  </si>
  <si>
    <t>176/200</t>
  </si>
  <si>
    <t>154.88/176</t>
  </si>
  <si>
    <t>136.29/154.88</t>
  </si>
  <si>
    <t>Exercise 04</t>
  </si>
  <si>
    <t>Q1</t>
  </si>
  <si>
    <t>Q2</t>
  </si>
  <si>
    <t>Q3</t>
  </si>
  <si>
    <t>Q4</t>
  </si>
  <si>
    <t>50 Units</t>
  </si>
  <si>
    <t>10 Units</t>
  </si>
  <si>
    <t>90% Leaning Curve</t>
  </si>
  <si>
    <t>a)</t>
  </si>
  <si>
    <t>10Kg*Rs.3,000</t>
  </si>
  <si>
    <t>60 units</t>
  </si>
  <si>
    <t>b = log .9 / log 2</t>
  </si>
  <si>
    <t>10Hrs*60^ -0.152</t>
  </si>
  <si>
    <t>Ave, Hrs per unit</t>
  </si>
  <si>
    <t>Total units</t>
  </si>
  <si>
    <t>Labour Hrs for 60 units</t>
  </si>
  <si>
    <t>Labour Hrs for 50 units</t>
  </si>
  <si>
    <t>10Hrs*50^ -0.152</t>
  </si>
  <si>
    <t>46.13Hrs*Rs.9,000/10</t>
  </si>
  <si>
    <t>Variable Overhead</t>
  </si>
  <si>
    <t>46.13Hrs*Rs.5,000/10</t>
  </si>
  <si>
    <t>Labour Hrs for 10 units (from 51 to 60)</t>
  </si>
  <si>
    <t>b)</t>
  </si>
  <si>
    <t>Cost per unit during the 04th Quarter - Learning is finished at end of 03rd quarter</t>
  </si>
  <si>
    <t>Cost per unit during the 04th Quarter - Learning continues to 04th quarter</t>
  </si>
  <si>
    <t>Time taken to produce 50th Unit, will be taken by the 51st unit</t>
  </si>
  <si>
    <t>Labour hrs taken to produce 50th Unit</t>
  </si>
  <si>
    <t>Labour Hrs for 49 units</t>
  </si>
  <si>
    <t>10Hrs*49^ -0.152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</si>
</sst>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0_);_(* \(#,##0.00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43" fontId="0" fillId="0" borderId="0" xfId="1" applyFont="1"/>
    <xf numFmtId="43" fontId="0" fillId="0" borderId="0" xfId="0" applyNumberFormat="1"/>
    <xf numFmtId="43" fontId="3" fillId="0" borderId="1" xfId="0" applyNumberFormat="1" applyFont="1" applyBorder="1"/>
    <xf numFmtId="0" fontId="0" fillId="2" borderId="0" xfId="0" applyFill="1"/>
    <xf numFmtId="43" fontId="0" fillId="2" borderId="0" xfId="1" applyFont="1" applyFill="1"/>
    <xf numFmtId="0" fontId="2" fillId="0" borderId="0" xfId="0" applyFont="1"/>
    <xf numFmtId="0" fontId="4" fillId="0" borderId="0" xfId="0" applyFont="1"/>
    <xf numFmtId="43" fontId="4" fillId="0" borderId="1" xfId="0" applyNumberFormat="1" applyFont="1" applyBorder="1"/>
    <xf numFmtId="0" fontId="5" fillId="0" borderId="0" xfId="0" applyFont="1"/>
    <xf numFmtId="43" fontId="5" fillId="0" borderId="0" xfId="0" applyNumberFormat="1" applyFont="1"/>
    <xf numFmtId="43" fontId="0" fillId="0" borderId="0" xfId="1" applyFont="1" applyFill="1"/>
    <xf numFmtId="43" fontId="2" fillId="0" borderId="0" xfId="1" applyFont="1"/>
    <xf numFmtId="0" fontId="0" fillId="4" borderId="2" xfId="0" applyFill="1" applyBorder="1"/>
    <xf numFmtId="0" fontId="3" fillId="0" borderId="0" xfId="0" applyFont="1" applyAlignment="1">
      <alignment horizontal="right"/>
    </xf>
    <xf numFmtId="43" fontId="4" fillId="0" borderId="6" xfId="1" applyFont="1" applyBorder="1"/>
    <xf numFmtId="43" fontId="2" fillId="0" borderId="0" xfId="0" applyNumberFormat="1" applyFont="1"/>
    <xf numFmtId="43" fontId="2" fillId="0" borderId="6" xfId="0" applyNumberFormat="1" applyFont="1" applyBorder="1"/>
    <xf numFmtId="164" fontId="4" fillId="0" borderId="6" xfId="1" applyNumberFormat="1" applyFont="1" applyBorder="1"/>
    <xf numFmtId="10" fontId="0" fillId="0" borderId="0" xfId="2" applyNumberFormat="1" applyFont="1"/>
    <xf numFmtId="10" fontId="2" fillId="0" borderId="0" xfId="2" applyNumberFormat="1" applyFont="1"/>
    <xf numFmtId="0" fontId="3" fillId="8" borderId="0" xfId="0" applyFont="1" applyFill="1"/>
    <xf numFmtId="0" fontId="3" fillId="8" borderId="0" xfId="0" applyFont="1" applyFill="1" applyAlignment="1">
      <alignment horizontal="right" wrapText="1"/>
    </xf>
    <xf numFmtId="0" fontId="0" fillId="8" borderId="0" xfId="0" applyFill="1"/>
    <xf numFmtId="43" fontId="0" fillId="8" borderId="0" xfId="1" applyFont="1" applyFill="1"/>
    <xf numFmtId="0" fontId="2" fillId="8" borderId="0" xfId="0" applyFont="1" applyFill="1" applyAlignment="1">
      <alignment horizontal="right"/>
    </xf>
    <xf numFmtId="0" fontId="2" fillId="8" borderId="0" xfId="0" applyFont="1" applyFill="1" applyAlignment="1">
      <alignment horizontal="left" indent="1"/>
    </xf>
    <xf numFmtId="0" fontId="0" fillId="0" borderId="0" xfId="0" applyAlignment="1">
      <alignment wrapText="1"/>
    </xf>
    <xf numFmtId="43" fontId="0" fillId="0" borderId="1" xfId="0" applyNumberFormat="1" applyBorder="1"/>
    <xf numFmtId="0" fontId="2" fillId="0" borderId="0" xfId="0" applyFont="1" applyAlignment="1"/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3" fillId="6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3" fillId="12" borderId="0" xfId="0" applyFont="1" applyFill="1" applyAlignment="1">
      <alignment horizontal="center"/>
    </xf>
    <xf numFmtId="0" fontId="3" fillId="10" borderId="0" xfId="0" applyFont="1" applyFill="1" applyAlignment="1">
      <alignment horizontal="center"/>
    </xf>
    <xf numFmtId="0" fontId="3" fillId="9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3" fillId="11" borderId="0" xfId="0" applyFont="1" applyFill="1" applyAlignment="1">
      <alignment horizontal="center"/>
    </xf>
    <xf numFmtId="0" fontId="0" fillId="12" borderId="0" xfId="0" applyFill="1" applyAlignment="1">
      <alignment horizontal="center"/>
    </xf>
    <xf numFmtId="0" fontId="3" fillId="9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161921</xdr:colOff>
      <xdr:row>17</xdr:row>
      <xdr:rowOff>95250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85721</xdr:colOff>
      <xdr:row>17</xdr:row>
      <xdr:rowOff>95250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409571</xdr:colOff>
      <xdr:row>19</xdr:row>
      <xdr:rowOff>57150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95251</xdr:colOff>
      <xdr:row>39</xdr:row>
      <xdr:rowOff>142876</xdr:rowOff>
    </xdr:from>
    <xdr:to>
      <xdr:col>6</xdr:col>
      <xdr:colOff>600075</xdr:colOff>
      <xdr:row>41</xdr:row>
      <xdr:rowOff>114300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5562601" y="7648576"/>
          <a:ext cx="504824" cy="35242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50</a:t>
          </a:r>
        </a:p>
      </xdr:txBody>
    </xdr:sp>
    <xdr:clientData/>
  </xdr:twoCellAnchor>
  <xdr:twoCellAnchor>
    <xdr:from>
      <xdr:col>5</xdr:col>
      <xdr:colOff>190501</xdr:colOff>
      <xdr:row>39</xdr:row>
      <xdr:rowOff>161926</xdr:rowOff>
    </xdr:from>
    <xdr:to>
      <xdr:col>6</xdr:col>
      <xdr:colOff>85725</xdr:colOff>
      <xdr:row>41</xdr:row>
      <xdr:rowOff>133350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>
          <a:off x="5048251" y="7667626"/>
          <a:ext cx="504824" cy="35242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49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209546</xdr:colOff>
      <xdr:row>19</xdr:row>
      <xdr:rowOff>76200</xdr:rowOff>
    </xdr:to>
    <xdr:sp macro="" textlink="">
      <xdr:nvSpPr>
        <xdr:cNvPr id="4" name="Rectangle 3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21</xdr:row>
      <xdr:rowOff>123825</xdr:rowOff>
    </xdr:from>
    <xdr:to>
      <xdr:col>7</xdr:col>
      <xdr:colOff>590550</xdr:colOff>
      <xdr:row>23</xdr:row>
      <xdr:rowOff>76200</xdr:rowOff>
    </xdr:to>
    <xdr:sp macro="" textlink="">
      <xdr:nvSpPr>
        <xdr:cNvPr id="2" name="Flowchart: Connector 1">
          <a:extLst>
            <a:ext uri="{FF2B5EF4-FFF2-40B4-BE49-F238E27FC236}">
              <a16:creationId xmlns:a16="http://schemas.microsoft.com/office/drawing/2014/main" xmlns="" id="{495AC53C-D935-63E8-34AB-BC5343367600}"/>
            </a:ext>
          </a:extLst>
        </xdr:cNvPr>
        <xdr:cNvSpPr/>
      </xdr:nvSpPr>
      <xdr:spPr>
        <a:xfrm>
          <a:off x="6867525" y="4352925"/>
          <a:ext cx="466725" cy="333375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50</a:t>
          </a:r>
        </a:p>
      </xdr:txBody>
    </xdr:sp>
    <xdr:clientData/>
  </xdr:twoCellAnchor>
  <xdr:twoCellAnchor>
    <xdr:from>
      <xdr:col>6</xdr:col>
      <xdr:colOff>257175</xdr:colOff>
      <xdr:row>21</xdr:row>
      <xdr:rowOff>123825</xdr:rowOff>
    </xdr:from>
    <xdr:to>
      <xdr:col>7</xdr:col>
      <xdr:colOff>114300</xdr:colOff>
      <xdr:row>23</xdr:row>
      <xdr:rowOff>76200</xdr:rowOff>
    </xdr:to>
    <xdr:sp macro="" textlink="">
      <xdr:nvSpPr>
        <xdr:cNvPr id="4" name="Flowchart: Connector 3">
          <a:extLst>
            <a:ext uri="{FF2B5EF4-FFF2-40B4-BE49-F238E27FC236}">
              <a16:creationId xmlns:a16="http://schemas.microsoft.com/office/drawing/2014/main" xmlns="" id="{93049B51-DA4B-4BC4-AF17-E51FF704A901}"/>
            </a:ext>
          </a:extLst>
        </xdr:cNvPr>
        <xdr:cNvSpPr/>
      </xdr:nvSpPr>
      <xdr:spPr>
        <a:xfrm>
          <a:off x="6391275" y="4352925"/>
          <a:ext cx="466725" cy="333375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49</a:t>
          </a:r>
        </a:p>
      </xdr:txBody>
    </xdr:sp>
    <xdr:clientData/>
  </xdr:twoCellAnchor>
  <xdr:twoCellAnchor>
    <xdr:from>
      <xdr:col>8</xdr:col>
      <xdr:colOff>0</xdr:colOff>
      <xdr:row>21</xdr:row>
      <xdr:rowOff>133350</xdr:rowOff>
    </xdr:from>
    <xdr:to>
      <xdr:col>8</xdr:col>
      <xdr:colOff>466725</xdr:colOff>
      <xdr:row>23</xdr:row>
      <xdr:rowOff>85725</xdr:rowOff>
    </xdr:to>
    <xdr:sp macro="" textlink="">
      <xdr:nvSpPr>
        <xdr:cNvPr id="5" name="Flowchart: Connector 4">
          <a:extLst>
            <a:ext uri="{FF2B5EF4-FFF2-40B4-BE49-F238E27FC236}">
              <a16:creationId xmlns:a16="http://schemas.microsoft.com/office/drawing/2014/main" xmlns="" id="{87F75515-8E09-4F82-8262-85ED53E61B3B}"/>
            </a:ext>
          </a:extLst>
        </xdr:cNvPr>
        <xdr:cNvSpPr/>
      </xdr:nvSpPr>
      <xdr:spPr>
        <a:xfrm>
          <a:off x="7353300" y="4362450"/>
          <a:ext cx="466725" cy="333375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51</a:t>
          </a:r>
        </a:p>
      </xdr:txBody>
    </xdr:sp>
    <xdr:clientData/>
  </xdr:twoCellAnchor>
  <xdr:twoCellAnchor>
    <xdr:from>
      <xdr:col>8</xdr:col>
      <xdr:colOff>0</xdr:colOff>
      <xdr:row>17</xdr:row>
      <xdr:rowOff>142875</xdr:rowOff>
    </xdr:from>
    <xdr:to>
      <xdr:col>8</xdr:col>
      <xdr:colOff>0</xdr:colOff>
      <xdr:row>24</xdr:row>
      <xdr:rowOff>85725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A5670874-31C5-17D6-CA3E-71CB3BB55CA2}"/>
            </a:ext>
          </a:extLst>
        </xdr:cNvPr>
        <xdr:cNvCxnSpPr/>
      </xdr:nvCxnSpPr>
      <xdr:spPr>
        <a:xfrm>
          <a:off x="7353300" y="3600450"/>
          <a:ext cx="0" cy="1285875"/>
        </a:xfrm>
        <a:prstGeom prst="line">
          <a:avLst/>
        </a:prstGeom>
        <a:ln w="57150"/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371475</xdr:colOff>
      <xdr:row>23</xdr:row>
      <xdr:rowOff>133350</xdr:rowOff>
    </xdr:from>
    <xdr:to>
      <xdr:col>8</xdr:col>
      <xdr:colOff>304800</xdr:colOff>
      <xdr:row>24</xdr:row>
      <xdr:rowOff>180975</xdr:rowOff>
    </xdr:to>
    <xdr:sp macro="" textlink="">
      <xdr:nvSpPr>
        <xdr:cNvPr id="9" name="Arrow: Curved Up 8">
          <a:extLst>
            <a:ext uri="{FF2B5EF4-FFF2-40B4-BE49-F238E27FC236}">
              <a16:creationId xmlns:a16="http://schemas.microsoft.com/office/drawing/2014/main" xmlns="" id="{99EAAE91-9480-75F7-A746-FE5B69C458E3}"/>
            </a:ext>
          </a:extLst>
        </xdr:cNvPr>
        <xdr:cNvSpPr/>
      </xdr:nvSpPr>
      <xdr:spPr>
        <a:xfrm>
          <a:off x="7115175" y="4743450"/>
          <a:ext cx="542925" cy="238125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552446</xdr:colOff>
      <xdr:row>18</xdr:row>
      <xdr:rowOff>57150</xdr:rowOff>
    </xdr:to>
    <xdr:sp macro="" textlink="">
      <xdr:nvSpPr>
        <xdr:cNvPr id="8" name="Rectangle 7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19046</xdr:colOff>
      <xdr:row>17</xdr:row>
      <xdr:rowOff>95250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590546</xdr:colOff>
      <xdr:row>19</xdr:row>
      <xdr:rowOff>95250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workbookViewId="0">
      <selection activeCell="E19" sqref="E19"/>
    </sheetView>
  </sheetViews>
  <sheetFormatPr defaultRowHeight="15" x14ac:dyDescent="0.25"/>
  <cols>
    <col min="1" max="1" width="17.140625" customWidth="1"/>
    <col min="2" max="2" width="17.85546875" customWidth="1"/>
    <col min="3" max="3" width="11.85546875" customWidth="1"/>
    <col min="4" max="4" width="12" customWidth="1"/>
    <col min="5" max="5" width="16.42578125" bestFit="1" customWidth="1"/>
    <col min="6" max="6" width="15.85546875" customWidth="1"/>
    <col min="7" max="7" width="18.42578125" bestFit="1" customWidth="1"/>
    <col min="8" max="8" width="15.7109375" customWidth="1"/>
  </cols>
  <sheetData>
    <row r="2" spans="1:11" x14ac:dyDescent="0.25">
      <c r="A2" s="1" t="s">
        <v>0</v>
      </c>
    </row>
    <row r="4" spans="1:11" ht="45" x14ac:dyDescent="0.25">
      <c r="A4" s="1" t="s">
        <v>1</v>
      </c>
      <c r="B4" s="2" t="s">
        <v>2</v>
      </c>
      <c r="C4" s="2" t="s">
        <v>7</v>
      </c>
      <c r="D4" s="26" t="s">
        <v>13</v>
      </c>
      <c r="E4" s="26" t="s">
        <v>14</v>
      </c>
      <c r="F4" s="2" t="s">
        <v>19</v>
      </c>
      <c r="I4" s="2" t="s">
        <v>83</v>
      </c>
    </row>
    <row r="5" spans="1:11" x14ac:dyDescent="0.25">
      <c r="A5">
        <v>1</v>
      </c>
      <c r="B5" s="5">
        <v>800</v>
      </c>
      <c r="C5" s="5">
        <v>800</v>
      </c>
      <c r="D5" s="27">
        <v>0</v>
      </c>
      <c r="E5" s="28">
        <v>800</v>
      </c>
      <c r="F5" s="5">
        <v>0</v>
      </c>
    </row>
    <row r="6" spans="1:11" x14ac:dyDescent="0.25">
      <c r="C6" s="4" t="s">
        <v>8</v>
      </c>
      <c r="D6" s="27"/>
      <c r="E6" s="27"/>
      <c r="I6" t="s">
        <v>84</v>
      </c>
      <c r="K6">
        <v>-0.32191999999999998</v>
      </c>
    </row>
    <row r="7" spans="1:11" x14ac:dyDescent="0.25">
      <c r="A7">
        <v>2</v>
      </c>
      <c r="B7" s="5">
        <v>640</v>
      </c>
      <c r="C7" s="5">
        <f>640*2</f>
        <v>1280</v>
      </c>
      <c r="D7" s="27">
        <v>1</v>
      </c>
      <c r="E7" s="28">
        <f>1280-800</f>
        <v>480</v>
      </c>
      <c r="F7" s="5">
        <v>480</v>
      </c>
    </row>
    <row r="8" spans="1:11" x14ac:dyDescent="0.25">
      <c r="B8" s="4" t="s">
        <v>3</v>
      </c>
      <c r="C8" s="4" t="s">
        <v>9</v>
      </c>
      <c r="D8" s="27"/>
      <c r="E8" s="29" t="s">
        <v>15</v>
      </c>
      <c r="F8" s="4" t="s">
        <v>20</v>
      </c>
      <c r="I8" t="s">
        <v>85</v>
      </c>
    </row>
    <row r="9" spans="1:11" s="8" customFormat="1" x14ac:dyDescent="0.25">
      <c r="A9" s="8">
        <v>4</v>
      </c>
      <c r="B9" s="9">
        <f>640*0.8</f>
        <v>512</v>
      </c>
      <c r="C9" s="9">
        <f>512*4</f>
        <v>2048</v>
      </c>
      <c r="D9" s="27">
        <v>2</v>
      </c>
      <c r="E9" s="28">
        <f>2048-1280</f>
        <v>768</v>
      </c>
      <c r="F9" s="9">
        <f>+E9/D9</f>
        <v>384</v>
      </c>
    </row>
    <row r="10" spans="1:11" x14ac:dyDescent="0.25">
      <c r="B10" s="4" t="s">
        <v>4</v>
      </c>
      <c r="C10" s="4" t="s">
        <v>10</v>
      </c>
      <c r="D10" s="27"/>
      <c r="E10" s="29" t="s">
        <v>16</v>
      </c>
      <c r="F10" s="4" t="s">
        <v>21</v>
      </c>
      <c r="I10" s="16">
        <f>800*8^-0.32192</f>
        <v>409.60689479136454</v>
      </c>
    </row>
    <row r="11" spans="1:11" x14ac:dyDescent="0.25">
      <c r="A11">
        <v>8</v>
      </c>
      <c r="B11" s="5">
        <f>512*0.8</f>
        <v>409.6</v>
      </c>
      <c r="C11" s="5">
        <f>409.6*8</f>
        <v>3276.8</v>
      </c>
      <c r="D11" s="27">
        <v>4</v>
      </c>
      <c r="E11" s="28">
        <f>3276.8-2048</f>
        <v>1228.8000000000002</v>
      </c>
      <c r="F11" s="6">
        <f>E11/D11</f>
        <v>307.20000000000005</v>
      </c>
    </row>
    <row r="12" spans="1:11" x14ac:dyDescent="0.25">
      <c r="B12" s="4" t="s">
        <v>5</v>
      </c>
      <c r="C12" s="4" t="s">
        <v>11</v>
      </c>
      <c r="D12" s="27"/>
      <c r="E12" s="29" t="s">
        <v>17</v>
      </c>
      <c r="F12" s="4" t="s">
        <v>22</v>
      </c>
      <c r="I12" s="2" t="s">
        <v>83</v>
      </c>
    </row>
    <row r="13" spans="1:11" x14ac:dyDescent="0.25">
      <c r="A13">
        <v>16</v>
      </c>
      <c r="B13" s="5">
        <f>+B11*0.8</f>
        <v>327.68000000000006</v>
      </c>
      <c r="C13" s="5">
        <f>+B13*16</f>
        <v>5242.880000000001</v>
      </c>
      <c r="D13" s="27">
        <v>8</v>
      </c>
      <c r="E13" s="27">
        <f>5242.88-3276.8</f>
        <v>1966.08</v>
      </c>
      <c r="F13" s="5">
        <f>E13/D13</f>
        <v>245.76</v>
      </c>
    </row>
    <row r="14" spans="1:11" x14ac:dyDescent="0.25">
      <c r="B14" s="4" t="s">
        <v>6</v>
      </c>
      <c r="C14" t="s">
        <v>12</v>
      </c>
      <c r="D14" s="27"/>
      <c r="E14" s="30" t="s">
        <v>18</v>
      </c>
      <c r="F14" s="4" t="s">
        <v>23</v>
      </c>
      <c r="I14" t="s">
        <v>84</v>
      </c>
      <c r="K14">
        <v>-0.32191999999999998</v>
      </c>
    </row>
    <row r="16" spans="1:11" x14ac:dyDescent="0.25">
      <c r="I16" t="s">
        <v>86</v>
      </c>
    </row>
    <row r="17" spans="1:11" x14ac:dyDescent="0.25">
      <c r="A17" s="1" t="s">
        <v>24</v>
      </c>
      <c r="I17" s="8"/>
      <c r="J17" s="8"/>
      <c r="K17" s="8"/>
    </row>
    <row r="18" spans="1:11" x14ac:dyDescent="0.25">
      <c r="C18" s="3" t="s">
        <v>26</v>
      </c>
      <c r="I18" s="16">
        <f>800*16^-0.32192</f>
        <v>327.68735446475489</v>
      </c>
    </row>
    <row r="19" spans="1:11" x14ac:dyDescent="0.25">
      <c r="A19" t="s">
        <v>25</v>
      </c>
      <c r="C19" s="5">
        <v>5</v>
      </c>
    </row>
    <row r="20" spans="1:11" x14ac:dyDescent="0.25">
      <c r="A20" t="s">
        <v>27</v>
      </c>
      <c r="B20" t="s">
        <v>28</v>
      </c>
      <c r="C20" s="5">
        <f>480*5000/1000000</f>
        <v>2.4</v>
      </c>
    </row>
    <row r="21" spans="1:11" x14ac:dyDescent="0.25">
      <c r="A21" t="s">
        <v>29</v>
      </c>
      <c r="B21" t="s">
        <v>30</v>
      </c>
      <c r="C21" s="6">
        <f>C20*150%</f>
        <v>3.5999999999999996</v>
      </c>
    </row>
    <row r="22" spans="1:11" ht="15.75" thickBot="1" x14ac:dyDescent="0.3">
      <c r="A22" s="11" t="s">
        <v>31</v>
      </c>
      <c r="B22" s="11"/>
      <c r="C22" s="12">
        <f>SUM(C19:C21)</f>
        <v>11</v>
      </c>
    </row>
    <row r="23" spans="1:11" ht="15.75" thickTop="1" x14ac:dyDescent="0.25"/>
    <row r="25" spans="1:11" x14ac:dyDescent="0.25">
      <c r="A25" s="1" t="s">
        <v>32</v>
      </c>
    </row>
    <row r="26" spans="1:11" x14ac:dyDescent="0.25">
      <c r="C26" s="3" t="s">
        <v>26</v>
      </c>
    </row>
    <row r="27" spans="1:11" x14ac:dyDescent="0.25">
      <c r="A27" t="s">
        <v>25</v>
      </c>
      <c r="B27" t="s">
        <v>33</v>
      </c>
      <c r="C27" s="5">
        <v>10</v>
      </c>
    </row>
    <row r="28" spans="1:11" x14ac:dyDescent="0.25">
      <c r="A28" t="s">
        <v>27</v>
      </c>
      <c r="B28" t="s">
        <v>34</v>
      </c>
      <c r="C28" s="5">
        <f>768*5000/1000000</f>
        <v>3.84</v>
      </c>
    </row>
    <row r="29" spans="1:11" x14ac:dyDescent="0.25">
      <c r="A29" t="s">
        <v>29</v>
      </c>
      <c r="B29" t="s">
        <v>35</v>
      </c>
      <c r="C29" s="6">
        <f>C28*150%</f>
        <v>5.76</v>
      </c>
    </row>
    <row r="30" spans="1:11" ht="15.75" thickBot="1" x14ac:dyDescent="0.3">
      <c r="A30" s="1" t="s">
        <v>31</v>
      </c>
      <c r="B30" s="1" t="s">
        <v>36</v>
      </c>
      <c r="C30" s="7">
        <f>SUM(C27:C29)</f>
        <v>19.600000000000001</v>
      </c>
    </row>
    <row r="31" spans="1:11" ht="15.75" thickTop="1" x14ac:dyDescent="0.25"/>
    <row r="32" spans="1:11" ht="15.75" thickBot="1" x14ac:dyDescent="0.3">
      <c r="A32" s="11" t="s">
        <v>37</v>
      </c>
      <c r="B32" t="s">
        <v>38</v>
      </c>
      <c r="C32" s="12">
        <f>C30/2</f>
        <v>9.8000000000000007</v>
      </c>
    </row>
    <row r="33" spans="1:8" ht="15.75" thickTop="1" x14ac:dyDescent="0.25"/>
    <row r="34" spans="1:8" x14ac:dyDescent="0.25">
      <c r="A34" s="1" t="s">
        <v>39</v>
      </c>
      <c r="F34" s="1" t="s">
        <v>40</v>
      </c>
    </row>
    <row r="36" spans="1:8" x14ac:dyDescent="0.25">
      <c r="C36" s="3" t="s">
        <v>26</v>
      </c>
      <c r="H36" s="3" t="s">
        <v>26</v>
      </c>
    </row>
    <row r="37" spans="1:8" x14ac:dyDescent="0.25">
      <c r="A37" t="s">
        <v>25</v>
      </c>
      <c r="B37" t="s">
        <v>41</v>
      </c>
      <c r="C37" s="5">
        <f>5*4</f>
        <v>20</v>
      </c>
      <c r="F37" t="s">
        <v>25</v>
      </c>
      <c r="G37" t="s">
        <v>49</v>
      </c>
      <c r="H37" s="5">
        <f>5*8</f>
        <v>40</v>
      </c>
    </row>
    <row r="38" spans="1:8" x14ac:dyDescent="0.25">
      <c r="A38" t="s">
        <v>27</v>
      </c>
      <c r="B38" t="s">
        <v>42</v>
      </c>
      <c r="C38" s="5">
        <f>2048*5000/1000000</f>
        <v>10.24</v>
      </c>
      <c r="F38" t="s">
        <v>27</v>
      </c>
      <c r="G38" t="s">
        <v>50</v>
      </c>
      <c r="H38" s="5">
        <f>3276.8*5000/1000000</f>
        <v>16.384</v>
      </c>
    </row>
    <row r="39" spans="1:8" x14ac:dyDescent="0.25">
      <c r="A39" t="s">
        <v>29</v>
      </c>
      <c r="B39" t="s">
        <v>43</v>
      </c>
      <c r="C39" s="6">
        <f>C38*150%</f>
        <v>15.36</v>
      </c>
      <c r="F39" t="s">
        <v>29</v>
      </c>
      <c r="G39" t="s">
        <v>51</v>
      </c>
      <c r="H39" s="6">
        <f>H38*150%</f>
        <v>24.576000000000001</v>
      </c>
    </row>
    <row r="40" spans="1:8" ht="15.75" thickBot="1" x14ac:dyDescent="0.3">
      <c r="A40" s="1" t="s">
        <v>31</v>
      </c>
      <c r="B40" s="1" t="s">
        <v>44</v>
      </c>
      <c r="C40" s="7">
        <f>SUM(C37:C39)</f>
        <v>45.6</v>
      </c>
      <c r="F40" s="1" t="s">
        <v>31</v>
      </c>
      <c r="G40" s="1" t="s">
        <v>52</v>
      </c>
      <c r="H40" s="7">
        <f>SUM(H37:H39)</f>
        <v>80.960000000000008</v>
      </c>
    </row>
    <row r="41" spans="1:8" ht="15.75" thickTop="1" x14ac:dyDescent="0.25"/>
    <row r="42" spans="1:8" x14ac:dyDescent="0.25">
      <c r="A42" s="13" t="s">
        <v>37</v>
      </c>
      <c r="B42" s="13" t="s">
        <v>45</v>
      </c>
      <c r="C42" s="14">
        <f>C40/4</f>
        <v>11.4</v>
      </c>
      <c r="F42" s="13" t="s">
        <v>37</v>
      </c>
      <c r="G42" s="13" t="s">
        <v>53</v>
      </c>
      <c r="H42" s="14">
        <f>H40/8</f>
        <v>10.120000000000001</v>
      </c>
    </row>
    <row r="43" spans="1:8" x14ac:dyDescent="0.25">
      <c r="A43" t="s">
        <v>46</v>
      </c>
      <c r="B43" t="s">
        <v>47</v>
      </c>
      <c r="C43" s="5">
        <f>+C42*0.2</f>
        <v>2.2800000000000002</v>
      </c>
      <c r="F43" t="s">
        <v>46</v>
      </c>
      <c r="G43" t="s">
        <v>54</v>
      </c>
      <c r="H43" s="5">
        <f>+H42*0.2</f>
        <v>2.0240000000000005</v>
      </c>
    </row>
    <row r="44" spans="1:8" ht="15.75" thickBot="1" x14ac:dyDescent="0.3">
      <c r="A44" s="11" t="s">
        <v>48</v>
      </c>
      <c r="B44" s="11"/>
      <c r="C44" s="12">
        <f>SUM(C42:C43)</f>
        <v>13.68</v>
      </c>
      <c r="F44" s="11" t="s">
        <v>48</v>
      </c>
      <c r="G44" s="11"/>
      <c r="H44" s="12">
        <f>SUM(H42:H43)</f>
        <v>12.144000000000002</v>
      </c>
    </row>
    <row r="45" spans="1:8" ht="15.75" thickTop="1" x14ac:dyDescent="0.25"/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J20" sqref="J20"/>
    </sheetView>
  </sheetViews>
  <sheetFormatPr defaultRowHeight="15" x14ac:dyDescent="0.25"/>
  <cols>
    <col min="1" max="1" width="14.28515625" customWidth="1"/>
    <col min="2" max="2" width="17.28515625" customWidth="1"/>
    <col min="3" max="3" width="18.7109375" customWidth="1"/>
    <col min="4" max="4" width="14.140625" customWidth="1"/>
    <col min="5" max="5" width="17.42578125" customWidth="1"/>
    <col min="6" max="6" width="15.7109375" customWidth="1"/>
    <col min="7" max="7" width="10.5703125" bestFit="1" customWidth="1"/>
  </cols>
  <sheetData>
    <row r="2" spans="1:7" x14ac:dyDescent="0.25">
      <c r="A2" s="1" t="s">
        <v>55</v>
      </c>
    </row>
    <row r="4" spans="1:7" ht="45" x14ac:dyDescent="0.25">
      <c r="A4" s="1" t="s">
        <v>1</v>
      </c>
      <c r="B4" s="2" t="s">
        <v>56</v>
      </c>
      <c r="C4" s="2" t="s">
        <v>70</v>
      </c>
      <c r="D4" s="2" t="s">
        <v>71</v>
      </c>
      <c r="E4" s="2" t="s">
        <v>72</v>
      </c>
      <c r="F4" s="2" t="s">
        <v>73</v>
      </c>
    </row>
    <row r="5" spans="1:7" x14ac:dyDescent="0.25">
      <c r="A5">
        <v>1</v>
      </c>
      <c r="B5" s="15">
        <v>500</v>
      </c>
      <c r="C5" s="15">
        <f>500*1</f>
        <v>500</v>
      </c>
      <c r="D5">
        <v>0</v>
      </c>
      <c r="E5" s="15">
        <v>500</v>
      </c>
      <c r="F5" s="15">
        <v>0</v>
      </c>
    </row>
    <row r="6" spans="1:7" x14ac:dyDescent="0.25">
      <c r="C6" s="4" t="s">
        <v>59</v>
      </c>
    </row>
    <row r="7" spans="1:7" x14ac:dyDescent="0.25">
      <c r="A7">
        <v>2</v>
      </c>
      <c r="B7" s="15">
        <f>500*0.9</f>
        <v>450</v>
      </c>
      <c r="C7" s="15">
        <f>450*2</f>
        <v>900</v>
      </c>
      <c r="D7">
        <v>1</v>
      </c>
      <c r="E7" s="15">
        <f>C7-C5</f>
        <v>400</v>
      </c>
      <c r="F7" s="15">
        <v>400</v>
      </c>
    </row>
    <row r="8" spans="1:7" x14ac:dyDescent="0.25">
      <c r="B8" s="4" t="s">
        <v>57</v>
      </c>
      <c r="C8" s="4" t="s">
        <v>60</v>
      </c>
      <c r="E8" s="4" t="s">
        <v>64</v>
      </c>
      <c r="F8" s="4" t="s">
        <v>67</v>
      </c>
    </row>
    <row r="9" spans="1:7" x14ac:dyDescent="0.25">
      <c r="A9">
        <v>4</v>
      </c>
      <c r="B9" s="15">
        <f>+B7*0.9</f>
        <v>405</v>
      </c>
      <c r="C9" s="15">
        <f>+B9*4</f>
        <v>1620</v>
      </c>
      <c r="D9">
        <v>2</v>
      </c>
      <c r="E9" s="15">
        <f>C9-C7</f>
        <v>720</v>
      </c>
      <c r="F9" s="15">
        <f>+E9/D9</f>
        <v>360</v>
      </c>
    </row>
    <row r="10" spans="1:7" x14ac:dyDescent="0.25">
      <c r="B10" s="4" t="s">
        <v>58</v>
      </c>
      <c r="C10" s="4" t="s">
        <v>61</v>
      </c>
      <c r="E10" s="4" t="s">
        <v>65</v>
      </c>
      <c r="F10" s="4" t="s">
        <v>68</v>
      </c>
    </row>
    <row r="11" spans="1:7" x14ac:dyDescent="0.25">
      <c r="A11">
        <v>8</v>
      </c>
      <c r="B11" s="15">
        <f>+B9*0.9</f>
        <v>364.5</v>
      </c>
      <c r="C11" s="15">
        <f>+B11*8</f>
        <v>2916</v>
      </c>
      <c r="D11">
        <v>4</v>
      </c>
      <c r="E11" s="15">
        <f>C11-C9</f>
        <v>1296</v>
      </c>
      <c r="F11" s="6">
        <f>E11/D11</f>
        <v>324</v>
      </c>
    </row>
    <row r="12" spans="1:7" x14ac:dyDescent="0.25">
      <c r="B12" s="4" t="s">
        <v>63</v>
      </c>
      <c r="C12" s="4" t="s">
        <v>62</v>
      </c>
      <c r="E12" s="4" t="s">
        <v>66</v>
      </c>
      <c r="F12" s="4" t="s">
        <v>69</v>
      </c>
    </row>
    <row r="15" spans="1:7" x14ac:dyDescent="0.25">
      <c r="A15" s="1" t="s">
        <v>74</v>
      </c>
      <c r="E15" s="1" t="s">
        <v>79</v>
      </c>
    </row>
    <row r="16" spans="1:7" x14ac:dyDescent="0.25">
      <c r="C16" s="3" t="s">
        <v>75</v>
      </c>
      <c r="G16" s="3" t="s">
        <v>75</v>
      </c>
    </row>
    <row r="17" spans="1:7" x14ac:dyDescent="0.25">
      <c r="A17" t="s">
        <v>25</v>
      </c>
      <c r="C17" s="15">
        <v>2000</v>
      </c>
      <c r="E17" t="s">
        <v>25</v>
      </c>
      <c r="F17" t="s">
        <v>80</v>
      </c>
      <c r="G17" s="15">
        <f>2000*8</f>
        <v>16000</v>
      </c>
    </row>
    <row r="18" spans="1:7" x14ac:dyDescent="0.25">
      <c r="A18" t="s">
        <v>27</v>
      </c>
      <c r="B18" t="s">
        <v>76</v>
      </c>
      <c r="C18" s="15">
        <f>500*5</f>
        <v>2500</v>
      </c>
      <c r="E18" t="s">
        <v>27</v>
      </c>
      <c r="F18" t="s">
        <v>81</v>
      </c>
      <c r="G18" s="15">
        <f>2916*5</f>
        <v>14580</v>
      </c>
    </row>
    <row r="19" spans="1:7" x14ac:dyDescent="0.25">
      <c r="C19" s="6">
        <f>SUM(C17:C18)</f>
        <v>4500</v>
      </c>
      <c r="G19" s="6">
        <f>SUM(G17:G18)</f>
        <v>30580</v>
      </c>
    </row>
    <row r="20" spans="1:7" ht="15.75" thickBot="1" x14ac:dyDescent="0.3">
      <c r="A20" s="11" t="s">
        <v>77</v>
      </c>
      <c r="B20" s="11" t="s">
        <v>78</v>
      </c>
      <c r="C20" s="12">
        <f>C19/1</f>
        <v>4500</v>
      </c>
      <c r="E20" s="11" t="s">
        <v>77</v>
      </c>
      <c r="F20" s="11" t="s">
        <v>82</v>
      </c>
      <c r="G20" s="12">
        <f>G19/8</f>
        <v>3822.5</v>
      </c>
    </row>
    <row r="21" spans="1:7" ht="15.75" thickTop="1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"/>
  <sheetViews>
    <sheetView workbookViewId="0">
      <selection activeCell="H22" sqref="H22"/>
    </sheetView>
  </sheetViews>
  <sheetFormatPr defaultRowHeight="15" x14ac:dyDescent="0.25"/>
  <cols>
    <col min="1" max="1" width="12" customWidth="1"/>
    <col min="2" max="2" width="12.85546875" customWidth="1"/>
    <col min="3" max="3" width="19.42578125" customWidth="1"/>
    <col min="4" max="4" width="13.28515625" bestFit="1" customWidth="1"/>
  </cols>
  <sheetData>
    <row r="2" spans="1:9" x14ac:dyDescent="0.25">
      <c r="A2" s="1" t="s">
        <v>87</v>
      </c>
    </row>
    <row r="4" spans="1:9" x14ac:dyDescent="0.25">
      <c r="B4" s="37" t="s">
        <v>93</v>
      </c>
      <c r="C4" s="37"/>
      <c r="D4" s="37"/>
      <c r="E4" s="37"/>
      <c r="F4" s="37"/>
      <c r="G4" s="37"/>
      <c r="H4" s="37"/>
    </row>
    <row r="5" spans="1:9" ht="15.75" thickBot="1" x14ac:dyDescent="0.3">
      <c r="B5" s="1" t="s">
        <v>88</v>
      </c>
      <c r="G5" s="1" t="s">
        <v>89</v>
      </c>
      <c r="H5" s="18" t="s">
        <v>90</v>
      </c>
    </row>
    <row r="6" spans="1:9" ht="15.75" thickBot="1" x14ac:dyDescent="0.3">
      <c r="B6" s="34">
        <v>230</v>
      </c>
      <c r="C6" s="35"/>
      <c r="D6" s="35"/>
      <c r="E6" s="35"/>
      <c r="F6" s="35"/>
      <c r="G6" s="36"/>
      <c r="H6" s="17">
        <v>55</v>
      </c>
      <c r="I6">
        <v>285</v>
      </c>
    </row>
    <row r="7" spans="1:9" x14ac:dyDescent="0.25">
      <c r="H7" t="s">
        <v>91</v>
      </c>
    </row>
    <row r="8" spans="1:9" x14ac:dyDescent="0.25">
      <c r="H8" t="s">
        <v>92</v>
      </c>
    </row>
    <row r="10" spans="1:9" x14ac:dyDescent="0.25">
      <c r="A10" t="s">
        <v>94</v>
      </c>
      <c r="B10" t="s">
        <v>95</v>
      </c>
    </row>
    <row r="12" spans="1:9" x14ac:dyDescent="0.25">
      <c r="B12" t="s">
        <v>83</v>
      </c>
    </row>
    <row r="13" spans="1:9" x14ac:dyDescent="0.25">
      <c r="G13" t="s">
        <v>96</v>
      </c>
    </row>
    <row r="14" spans="1:9" x14ac:dyDescent="0.25">
      <c r="B14" t="s">
        <v>97</v>
      </c>
      <c r="G14">
        <v>-0.32191999999999998</v>
      </c>
    </row>
    <row r="16" spans="1:9" ht="15.75" thickBot="1" x14ac:dyDescent="0.3">
      <c r="B16" s="19">
        <f>120000*230^-0.32192</f>
        <v>20839.813165409396</v>
      </c>
    </row>
    <row r="17" spans="1:7" ht="15.75" thickTop="1" x14ac:dyDescent="0.25"/>
    <row r="19" spans="1:7" x14ac:dyDescent="0.25">
      <c r="A19" t="s">
        <v>100</v>
      </c>
      <c r="B19" t="s">
        <v>98</v>
      </c>
    </row>
    <row r="21" spans="1:7" x14ac:dyDescent="0.25">
      <c r="B21" t="s">
        <v>83</v>
      </c>
    </row>
    <row r="22" spans="1:7" x14ac:dyDescent="0.25">
      <c r="G22" t="s">
        <v>96</v>
      </c>
    </row>
    <row r="23" spans="1:7" x14ac:dyDescent="0.25">
      <c r="B23" t="s">
        <v>99</v>
      </c>
      <c r="G23">
        <v>-0.32191999999999998</v>
      </c>
    </row>
    <row r="25" spans="1:7" ht="15.75" thickBot="1" x14ac:dyDescent="0.3">
      <c r="B25" s="19">
        <f>120000*285^-0.32192</f>
        <v>19449.909670626857</v>
      </c>
    </row>
    <row r="26" spans="1:7" ht="15.75" thickTop="1" x14ac:dyDescent="0.25"/>
    <row r="27" spans="1:7" x14ac:dyDescent="0.25">
      <c r="A27" t="s">
        <v>108</v>
      </c>
    </row>
    <row r="28" spans="1:7" x14ac:dyDescent="0.25">
      <c r="B28" t="s">
        <v>101</v>
      </c>
      <c r="C28" s="3" t="s">
        <v>102</v>
      </c>
      <c r="D28" s="3" t="s">
        <v>103</v>
      </c>
    </row>
    <row r="29" spans="1:7" x14ac:dyDescent="0.25">
      <c r="A29" t="s">
        <v>104</v>
      </c>
      <c r="B29">
        <v>230</v>
      </c>
      <c r="C29" s="6">
        <f>B16</f>
        <v>20839.813165409396</v>
      </c>
      <c r="D29" s="6">
        <f>B29*C29</f>
        <v>4793157.0280441614</v>
      </c>
    </row>
    <row r="30" spans="1:7" x14ac:dyDescent="0.25">
      <c r="A30" t="s">
        <v>105</v>
      </c>
      <c r="B30">
        <v>285</v>
      </c>
      <c r="C30" s="6">
        <f>+B25</f>
        <v>19449.909670626857</v>
      </c>
      <c r="D30" s="6">
        <f>B30*C30</f>
        <v>5543224.2561286548</v>
      </c>
    </row>
    <row r="31" spans="1:7" x14ac:dyDescent="0.25">
      <c r="A31" s="10" t="s">
        <v>106</v>
      </c>
      <c r="B31" s="10">
        <f>B30-B29</f>
        <v>55</v>
      </c>
      <c r="C31" s="10"/>
      <c r="D31" s="20">
        <f>D30-D29</f>
        <v>750067.22808449343</v>
      </c>
    </row>
    <row r="32" spans="1:7" ht="15.75" thickBot="1" x14ac:dyDescent="0.3">
      <c r="C32" t="s">
        <v>107</v>
      </c>
      <c r="D32" s="21">
        <f>D31/B31</f>
        <v>13637.585965172608</v>
      </c>
    </row>
    <row r="33" ht="15.75" thickTop="1" x14ac:dyDescent="0.25"/>
  </sheetData>
  <mergeCells count="2">
    <mergeCell ref="B6:G6"/>
    <mergeCell ref="B4:H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6"/>
  <sheetViews>
    <sheetView workbookViewId="0">
      <selection activeCell="H22" sqref="H22"/>
    </sheetView>
  </sheetViews>
  <sheetFormatPr defaultRowHeight="15" x14ac:dyDescent="0.25"/>
  <cols>
    <col min="1" max="1" width="12" customWidth="1"/>
    <col min="2" max="2" width="18.28515625" customWidth="1"/>
    <col min="3" max="3" width="20.28515625" customWidth="1"/>
    <col min="4" max="4" width="13.140625" customWidth="1"/>
    <col min="8" max="8" width="13" customWidth="1"/>
    <col min="9" max="9" width="11.28515625" customWidth="1"/>
  </cols>
  <sheetData>
    <row r="2" spans="1:11" x14ac:dyDescent="0.25">
      <c r="A2" s="1" t="s">
        <v>109</v>
      </c>
    </row>
    <row r="3" spans="1:11" x14ac:dyDescent="0.25">
      <c r="A3" t="s">
        <v>110</v>
      </c>
    </row>
    <row r="4" spans="1:11" x14ac:dyDescent="0.25">
      <c r="B4" s="40" t="s">
        <v>114</v>
      </c>
      <c r="C4" s="40"/>
      <c r="D4" s="40"/>
      <c r="E4" s="40"/>
      <c r="F4" s="40"/>
      <c r="G4" s="40"/>
      <c r="H4" s="40"/>
      <c r="I4" s="40"/>
    </row>
    <row r="6" spans="1:11" x14ac:dyDescent="0.25">
      <c r="B6" s="38" t="s">
        <v>111</v>
      </c>
      <c r="C6" s="38"/>
      <c r="D6" s="38"/>
      <c r="E6" s="38"/>
      <c r="F6" s="38"/>
      <c r="G6" s="38"/>
      <c r="H6" s="39" t="s">
        <v>112</v>
      </c>
      <c r="I6" s="39"/>
      <c r="J6" t="s">
        <v>113</v>
      </c>
      <c r="K6">
        <v>60</v>
      </c>
    </row>
    <row r="9" spans="1:11" x14ac:dyDescent="0.25">
      <c r="A9" t="s">
        <v>115</v>
      </c>
    </row>
    <row r="11" spans="1:11" x14ac:dyDescent="0.25">
      <c r="B11" t="s">
        <v>83</v>
      </c>
    </row>
    <row r="12" spans="1:11" x14ac:dyDescent="0.25">
      <c r="G12" t="s">
        <v>116</v>
      </c>
    </row>
    <row r="13" spans="1:11" x14ac:dyDescent="0.25">
      <c r="B13" t="s">
        <v>117</v>
      </c>
      <c r="G13">
        <v>-0.152</v>
      </c>
    </row>
    <row r="15" spans="1:11" ht="15.75" thickBot="1" x14ac:dyDescent="0.3">
      <c r="B15" s="19">
        <f>10*50^-0.152</f>
        <v>5.5176806294656444</v>
      </c>
      <c r="C15" t="s">
        <v>118</v>
      </c>
    </row>
    <row r="16" spans="1:11" ht="15.75" thickTop="1" x14ac:dyDescent="0.25"/>
    <row r="17" spans="1:7" x14ac:dyDescent="0.25">
      <c r="A17" t="s">
        <v>119</v>
      </c>
    </row>
    <row r="19" spans="1:7" x14ac:dyDescent="0.25">
      <c r="B19" t="s">
        <v>83</v>
      </c>
    </row>
    <row r="20" spans="1:7" x14ac:dyDescent="0.25">
      <c r="G20" t="s">
        <v>116</v>
      </c>
    </row>
    <row r="21" spans="1:7" x14ac:dyDescent="0.25">
      <c r="B21" t="s">
        <v>120</v>
      </c>
      <c r="G21">
        <v>-0.152</v>
      </c>
    </row>
    <row r="23" spans="1:7" ht="15.75" thickBot="1" x14ac:dyDescent="0.3">
      <c r="B23" s="19">
        <f>10*60^-0.152</f>
        <v>5.3668691881695265</v>
      </c>
      <c r="C23" t="s">
        <v>118</v>
      </c>
    </row>
    <row r="24" spans="1:7" ht="15.75" thickTop="1" x14ac:dyDescent="0.25"/>
    <row r="25" spans="1:7" x14ac:dyDescent="0.25">
      <c r="A25" t="s">
        <v>108</v>
      </c>
    </row>
    <row r="26" spans="1:7" x14ac:dyDescent="0.25">
      <c r="B26" t="s">
        <v>101</v>
      </c>
      <c r="C26" s="3" t="s">
        <v>122</v>
      </c>
      <c r="D26" s="3" t="s">
        <v>103</v>
      </c>
    </row>
    <row r="27" spans="1:7" x14ac:dyDescent="0.25">
      <c r="A27" t="s">
        <v>121</v>
      </c>
      <c r="B27">
        <v>50</v>
      </c>
      <c r="C27" s="6">
        <f>+B15</f>
        <v>5.5176806294656444</v>
      </c>
      <c r="D27" s="6">
        <f>B27*C27</f>
        <v>275.88403147328222</v>
      </c>
    </row>
    <row r="28" spans="1:7" x14ac:dyDescent="0.25">
      <c r="A28" t="s">
        <v>123</v>
      </c>
      <c r="B28">
        <v>60</v>
      </c>
      <c r="C28" s="6">
        <f>+B23</f>
        <v>5.3668691881695265</v>
      </c>
      <c r="D28" s="6">
        <f>B28*C28</f>
        <v>322.01215129017157</v>
      </c>
    </row>
    <row r="29" spans="1:7" x14ac:dyDescent="0.25">
      <c r="A29" s="10" t="s">
        <v>124</v>
      </c>
      <c r="B29" s="10">
        <f>B28-B27</f>
        <v>10</v>
      </c>
      <c r="C29" s="10"/>
      <c r="D29" s="20">
        <f>D28-D27</f>
        <v>46.128119816889352</v>
      </c>
    </row>
    <row r="30" spans="1:7" ht="15.75" thickBot="1" x14ac:dyDescent="0.3">
      <c r="C30" t="s">
        <v>125</v>
      </c>
      <c r="D30" s="21">
        <f>D29/B29</f>
        <v>4.6128119816889352</v>
      </c>
    </row>
    <row r="31" spans="1:7" ht="15.75" thickTop="1" x14ac:dyDescent="0.25"/>
    <row r="33" spans="1:11" x14ac:dyDescent="0.25">
      <c r="A33" t="s">
        <v>25</v>
      </c>
      <c r="C33" s="5">
        <v>30000</v>
      </c>
    </row>
    <row r="34" spans="1:11" x14ac:dyDescent="0.25">
      <c r="A34" t="s">
        <v>27</v>
      </c>
      <c r="B34" t="s">
        <v>126</v>
      </c>
      <c r="C34" s="5">
        <f>4.61*9000</f>
        <v>41490</v>
      </c>
    </row>
    <row r="35" spans="1:11" x14ac:dyDescent="0.25">
      <c r="A35" t="s">
        <v>127</v>
      </c>
      <c r="B35" t="s">
        <v>128</v>
      </c>
      <c r="C35" s="5">
        <f>4.61*5000</f>
        <v>23050</v>
      </c>
    </row>
    <row r="36" spans="1:11" ht="15.75" thickBot="1" x14ac:dyDescent="0.3">
      <c r="C36" s="12">
        <f>SUM(C33:C35)</f>
        <v>94540</v>
      </c>
    </row>
    <row r="37" spans="1:11" ht="15.75" thickTop="1" x14ac:dyDescent="0.25"/>
    <row r="39" spans="1:11" x14ac:dyDescent="0.25">
      <c r="A39" s="1" t="s">
        <v>129</v>
      </c>
      <c r="B39" s="40" t="s">
        <v>114</v>
      </c>
      <c r="C39" s="40"/>
      <c r="D39" s="40"/>
      <c r="E39" s="40"/>
      <c r="F39" s="40"/>
      <c r="G39" s="40"/>
      <c r="H39" s="41" t="s">
        <v>130</v>
      </c>
      <c r="I39" s="41"/>
    </row>
    <row r="41" spans="1:11" x14ac:dyDescent="0.25">
      <c r="B41" s="38" t="s">
        <v>111</v>
      </c>
      <c r="C41" s="38"/>
      <c r="D41" s="38"/>
      <c r="E41" s="38"/>
      <c r="F41" s="38"/>
      <c r="G41" s="38"/>
      <c r="H41" s="39" t="s">
        <v>112</v>
      </c>
      <c r="I41" s="39"/>
      <c r="J41" t="s">
        <v>113</v>
      </c>
      <c r="K41">
        <v>60</v>
      </c>
    </row>
    <row r="44" spans="1:11" x14ac:dyDescent="0.25">
      <c r="A44" t="s">
        <v>131</v>
      </c>
      <c r="B44" t="s">
        <v>132</v>
      </c>
    </row>
    <row r="46" spans="1:11" x14ac:dyDescent="0.25">
      <c r="A46" t="s">
        <v>131</v>
      </c>
      <c r="B46" t="s">
        <v>133</v>
      </c>
    </row>
    <row r="48" spans="1:11" x14ac:dyDescent="0.25">
      <c r="B48" t="s">
        <v>83</v>
      </c>
    </row>
    <row r="50" spans="1:4" x14ac:dyDescent="0.25">
      <c r="B50" t="s">
        <v>134</v>
      </c>
    </row>
    <row r="52" spans="1:4" ht="15.75" thickBot="1" x14ac:dyDescent="0.3">
      <c r="B52" s="22">
        <f>10*49^-0.152</f>
        <v>5.5346504288559952</v>
      </c>
      <c r="C52" t="s">
        <v>118</v>
      </c>
    </row>
    <row r="53" spans="1:4" ht="15.75" thickTop="1" x14ac:dyDescent="0.25"/>
    <row r="54" spans="1:4" x14ac:dyDescent="0.25">
      <c r="A54" t="s">
        <v>108</v>
      </c>
    </row>
    <row r="55" spans="1:4" x14ac:dyDescent="0.25">
      <c r="B55" t="s">
        <v>101</v>
      </c>
      <c r="C55" s="3" t="s">
        <v>122</v>
      </c>
      <c r="D55" s="3" t="s">
        <v>103</v>
      </c>
    </row>
    <row r="56" spans="1:4" x14ac:dyDescent="0.25">
      <c r="B56">
        <v>49</v>
      </c>
      <c r="C56" s="6">
        <f>+B52</f>
        <v>5.5346504288559952</v>
      </c>
      <c r="D56" s="6">
        <f>B56*C56</f>
        <v>271.19787101394377</v>
      </c>
    </row>
    <row r="57" spans="1:4" x14ac:dyDescent="0.25">
      <c r="B57">
        <v>50</v>
      </c>
      <c r="C57" s="6">
        <f>+B15</f>
        <v>5.5176806294656444</v>
      </c>
      <c r="D57" s="6">
        <f>B57*C57</f>
        <v>275.88403147328222</v>
      </c>
    </row>
    <row r="58" spans="1:4" x14ac:dyDescent="0.25">
      <c r="A58" s="10"/>
      <c r="B58" s="10">
        <f>B57-B56</f>
        <v>1</v>
      </c>
      <c r="C58" s="10"/>
      <c r="D58" s="20">
        <f>D57-D56</f>
        <v>4.6861604593384527</v>
      </c>
    </row>
    <row r="59" spans="1:4" ht="15.75" thickBot="1" x14ac:dyDescent="0.3">
      <c r="C59" t="s">
        <v>135</v>
      </c>
      <c r="D59" s="21">
        <f>D58/B58</f>
        <v>4.6861604593384527</v>
      </c>
    </row>
    <row r="60" spans="1:4" ht="15.75" thickTop="1" x14ac:dyDescent="0.25"/>
    <row r="62" spans="1:4" x14ac:dyDescent="0.25">
      <c r="A62" t="s">
        <v>25</v>
      </c>
      <c r="C62" s="5">
        <v>30000</v>
      </c>
    </row>
    <row r="63" spans="1:4" x14ac:dyDescent="0.25">
      <c r="A63" t="s">
        <v>27</v>
      </c>
      <c r="B63" t="s">
        <v>136</v>
      </c>
      <c r="C63" s="5">
        <f>4.69*9000</f>
        <v>42210</v>
      </c>
    </row>
    <row r="64" spans="1:4" x14ac:dyDescent="0.25">
      <c r="A64" t="s">
        <v>127</v>
      </c>
      <c r="B64" t="s">
        <v>137</v>
      </c>
      <c r="C64" s="5">
        <f>4.69*5000</f>
        <v>23450.000000000004</v>
      </c>
    </row>
    <row r="65" spans="3:3" ht="15.75" thickBot="1" x14ac:dyDescent="0.3">
      <c r="C65" s="12">
        <f>SUM(C62:C64)</f>
        <v>95660</v>
      </c>
    </row>
    <row r="66" spans="3:3" ht="15.75" thickTop="1" x14ac:dyDescent="0.25"/>
  </sheetData>
  <mergeCells count="7">
    <mergeCell ref="B6:G6"/>
    <mergeCell ref="H6:I6"/>
    <mergeCell ref="B4:I4"/>
    <mergeCell ref="B41:G41"/>
    <mergeCell ref="H41:I41"/>
    <mergeCell ref="B39:G39"/>
    <mergeCell ref="H39:I3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7"/>
  <sheetViews>
    <sheetView workbookViewId="0">
      <selection activeCell="K21" sqref="K21"/>
    </sheetView>
  </sheetViews>
  <sheetFormatPr defaultRowHeight="15" x14ac:dyDescent="0.25"/>
  <cols>
    <col min="1" max="1" width="21.7109375" customWidth="1"/>
    <col min="2" max="2" width="21.85546875" customWidth="1"/>
    <col min="3" max="3" width="16.28515625" customWidth="1"/>
    <col min="4" max="4" width="11.42578125" customWidth="1"/>
    <col min="5" max="5" width="11.5703125" customWidth="1"/>
  </cols>
  <sheetData>
    <row r="2" spans="1:11" x14ac:dyDescent="0.25">
      <c r="A2" s="1" t="s">
        <v>155</v>
      </c>
    </row>
    <row r="3" spans="1:11" x14ac:dyDescent="0.25">
      <c r="C3" s="42" t="s">
        <v>162</v>
      </c>
      <c r="D3" s="42"/>
      <c r="E3" s="42"/>
      <c r="F3" s="42"/>
      <c r="G3" s="42"/>
      <c r="H3" s="42"/>
      <c r="I3" s="42"/>
      <c r="J3" s="42"/>
    </row>
    <row r="4" spans="1:11" x14ac:dyDescent="0.25">
      <c r="C4" s="43" t="s">
        <v>160</v>
      </c>
      <c r="D4" s="43"/>
      <c r="E4" s="43"/>
      <c r="F4" s="43"/>
      <c r="G4" s="43"/>
      <c r="H4" s="43"/>
      <c r="I4" s="48" t="s">
        <v>161</v>
      </c>
      <c r="J4" s="48"/>
      <c r="K4" t="s">
        <v>165</v>
      </c>
    </row>
    <row r="5" spans="1:11" x14ac:dyDescent="0.25">
      <c r="C5" s="45" t="s">
        <v>156</v>
      </c>
      <c r="D5" s="45"/>
      <c r="E5" s="45" t="s">
        <v>157</v>
      </c>
      <c r="F5" s="45"/>
      <c r="G5" s="45" t="s">
        <v>158</v>
      </c>
      <c r="H5" s="45"/>
      <c r="I5" s="45" t="s">
        <v>159</v>
      </c>
      <c r="J5" s="45"/>
    </row>
    <row r="6" spans="1:11" x14ac:dyDescent="0.25">
      <c r="A6" t="s">
        <v>163</v>
      </c>
    </row>
    <row r="7" spans="1:11" x14ac:dyDescent="0.25">
      <c r="A7" s="1" t="s">
        <v>179</v>
      </c>
    </row>
    <row r="9" spans="1:11" x14ac:dyDescent="0.25">
      <c r="A9" t="s">
        <v>25</v>
      </c>
      <c r="B9" t="s">
        <v>164</v>
      </c>
      <c r="C9" s="5">
        <f>10*3000</f>
        <v>30000</v>
      </c>
    </row>
    <row r="10" spans="1:11" x14ac:dyDescent="0.25">
      <c r="A10" t="s">
        <v>27</v>
      </c>
      <c r="B10" t="s">
        <v>173</v>
      </c>
      <c r="C10" s="6">
        <f>F17*9000/10</f>
        <v>41515.307835200416</v>
      </c>
    </row>
    <row r="11" spans="1:11" x14ac:dyDescent="0.25">
      <c r="A11" t="s">
        <v>174</v>
      </c>
      <c r="B11" t="s">
        <v>175</v>
      </c>
      <c r="C11" s="6">
        <f>F17*5000/10</f>
        <v>23064.059908444677</v>
      </c>
    </row>
    <row r="12" spans="1:11" ht="15.75" thickBot="1" x14ac:dyDescent="0.3">
      <c r="C12" s="32">
        <f>SUM(C9:C11)</f>
        <v>94579.367743645096</v>
      </c>
    </row>
    <row r="13" spans="1:11" ht="15.75" thickTop="1" x14ac:dyDescent="0.25"/>
    <row r="14" spans="1:11" ht="30" x14ac:dyDescent="0.25">
      <c r="D14" s="31" t="s">
        <v>168</v>
      </c>
      <c r="E14" t="s">
        <v>169</v>
      </c>
      <c r="F14" t="s">
        <v>139</v>
      </c>
    </row>
    <row r="15" spans="1:11" x14ac:dyDescent="0.25">
      <c r="A15" t="s">
        <v>170</v>
      </c>
      <c r="B15" t="s">
        <v>138</v>
      </c>
      <c r="C15" t="s">
        <v>167</v>
      </c>
      <c r="D15">
        <f>10*60^-0.152</f>
        <v>5.3668691881695265</v>
      </c>
      <c r="E15">
        <v>60</v>
      </c>
      <c r="F15" s="5">
        <f>+D15*E15</f>
        <v>322.01215129017157</v>
      </c>
      <c r="H15" t="s">
        <v>166</v>
      </c>
      <c r="J15">
        <v>-0.152</v>
      </c>
    </row>
    <row r="16" spans="1:11" x14ac:dyDescent="0.25">
      <c r="A16" t="s">
        <v>171</v>
      </c>
      <c r="B16" t="s">
        <v>138</v>
      </c>
      <c r="C16" t="s">
        <v>172</v>
      </c>
      <c r="D16">
        <f>10*50^-0.152</f>
        <v>5.5176806294656444</v>
      </c>
      <c r="E16">
        <v>50</v>
      </c>
      <c r="F16" s="5">
        <f>+D16*E16</f>
        <v>275.88403147328222</v>
      </c>
    </row>
    <row r="17" spans="1:11" ht="15.75" thickBot="1" x14ac:dyDescent="0.3">
      <c r="C17" t="s">
        <v>176</v>
      </c>
      <c r="F17" s="32">
        <f>F15-F16</f>
        <v>46.128119816889352</v>
      </c>
    </row>
    <row r="18" spans="1:11" ht="15.75" thickTop="1" x14ac:dyDescent="0.25"/>
    <row r="19" spans="1:11" x14ac:dyDescent="0.25">
      <c r="A19" t="s">
        <v>177</v>
      </c>
    </row>
    <row r="20" spans="1:11" x14ac:dyDescent="0.25">
      <c r="A20" s="1" t="s">
        <v>178</v>
      </c>
    </row>
    <row r="22" spans="1:11" x14ac:dyDescent="0.25">
      <c r="C22" s="46" t="s">
        <v>162</v>
      </c>
      <c r="D22" s="46"/>
      <c r="E22" s="46"/>
      <c r="F22" s="46"/>
      <c r="G22" s="46"/>
      <c r="H22" s="46"/>
      <c r="I22" s="47" t="s">
        <v>130</v>
      </c>
      <c r="J22" s="47"/>
    </row>
    <row r="23" spans="1:11" x14ac:dyDescent="0.25">
      <c r="C23" s="43" t="s">
        <v>160</v>
      </c>
      <c r="D23" s="43"/>
      <c r="E23" s="43"/>
      <c r="F23" s="43"/>
      <c r="G23" s="43"/>
      <c r="H23" s="43"/>
      <c r="I23" s="44" t="s">
        <v>161</v>
      </c>
      <c r="J23" s="44"/>
      <c r="K23" t="s">
        <v>165</v>
      </c>
    </row>
    <row r="24" spans="1:11" x14ac:dyDescent="0.25">
      <c r="C24" s="45" t="s">
        <v>156</v>
      </c>
      <c r="D24" s="45"/>
      <c r="E24" s="45" t="s">
        <v>157</v>
      </c>
      <c r="F24" s="45"/>
      <c r="G24" s="45" t="s">
        <v>158</v>
      </c>
      <c r="H24" s="45"/>
      <c r="I24" s="45" t="s">
        <v>159</v>
      </c>
      <c r="J24" s="45"/>
    </row>
    <row r="26" spans="1:11" x14ac:dyDescent="0.25">
      <c r="H26" s="33" t="s">
        <v>180</v>
      </c>
      <c r="I26" s="33"/>
    </row>
    <row r="28" spans="1:11" x14ac:dyDescent="0.25">
      <c r="A28" t="s">
        <v>25</v>
      </c>
      <c r="B28" t="s">
        <v>164</v>
      </c>
      <c r="C28" s="5">
        <f>10*3000</f>
        <v>30000</v>
      </c>
    </row>
    <row r="29" spans="1:11" x14ac:dyDescent="0.25">
      <c r="A29" t="s">
        <v>27</v>
      </c>
      <c r="B29" t="s">
        <v>136</v>
      </c>
      <c r="C29" s="6">
        <f>F36*9000</f>
        <v>42175.444134046076</v>
      </c>
    </row>
    <row r="30" spans="1:11" x14ac:dyDescent="0.25">
      <c r="A30" t="s">
        <v>174</v>
      </c>
      <c r="B30" t="s">
        <v>137</v>
      </c>
      <c r="C30" s="6">
        <f>F36*5000</f>
        <v>23430.802296692265</v>
      </c>
    </row>
    <row r="31" spans="1:11" ht="15.75" thickBot="1" x14ac:dyDescent="0.3">
      <c r="C31" s="32">
        <f>SUM(C28:C30)</f>
        <v>95606.246430738334</v>
      </c>
    </row>
    <row r="32" spans="1:11" ht="15.75" thickTop="1" x14ac:dyDescent="0.25"/>
    <row r="33" spans="1:6" ht="30" x14ac:dyDescent="0.25">
      <c r="D33" s="31" t="s">
        <v>168</v>
      </c>
      <c r="E33" t="s">
        <v>169</v>
      </c>
      <c r="F33" t="s">
        <v>139</v>
      </c>
    </row>
    <row r="34" spans="1:6" x14ac:dyDescent="0.25">
      <c r="A34" t="s">
        <v>171</v>
      </c>
      <c r="B34" t="s">
        <v>138</v>
      </c>
      <c r="C34" t="s">
        <v>172</v>
      </c>
      <c r="D34">
        <f>10*50^-0.152</f>
        <v>5.5176806294656444</v>
      </c>
      <c r="E34">
        <v>50</v>
      </c>
      <c r="F34" s="5">
        <f>+D34*E34</f>
        <v>275.88403147328222</v>
      </c>
    </row>
    <row r="35" spans="1:6" x14ac:dyDescent="0.25">
      <c r="A35" t="s">
        <v>182</v>
      </c>
      <c r="B35" t="s">
        <v>138</v>
      </c>
      <c r="C35" t="s">
        <v>183</v>
      </c>
      <c r="D35">
        <f>10*49^-0.152</f>
        <v>5.5346504288559952</v>
      </c>
      <c r="E35">
        <v>49</v>
      </c>
      <c r="F35" s="5">
        <f>+D35*E35</f>
        <v>271.19787101394377</v>
      </c>
    </row>
    <row r="36" spans="1:6" ht="15.75" thickBot="1" x14ac:dyDescent="0.3">
      <c r="C36" t="s">
        <v>181</v>
      </c>
      <c r="F36" s="32">
        <f>F34-F35</f>
        <v>4.6861604593384527</v>
      </c>
    </row>
    <row r="37" spans="1:6" ht="15.75" thickTop="1" x14ac:dyDescent="0.25"/>
  </sheetData>
  <mergeCells count="15">
    <mergeCell ref="C3:J3"/>
    <mergeCell ref="C23:H23"/>
    <mergeCell ref="I23:J23"/>
    <mergeCell ref="C24:D24"/>
    <mergeCell ref="E24:F24"/>
    <mergeCell ref="G24:H24"/>
    <mergeCell ref="I24:J24"/>
    <mergeCell ref="C22:H22"/>
    <mergeCell ref="I22:J22"/>
    <mergeCell ref="C5:D5"/>
    <mergeCell ref="E5:F5"/>
    <mergeCell ref="G5:H5"/>
    <mergeCell ref="I5:J5"/>
    <mergeCell ref="C4:H4"/>
    <mergeCell ref="I4:J4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"/>
  <sheetViews>
    <sheetView workbookViewId="0">
      <selection activeCell="I21" sqref="I21"/>
    </sheetView>
  </sheetViews>
  <sheetFormatPr defaultRowHeight="15" x14ac:dyDescent="0.25"/>
  <cols>
    <col min="1" max="1" width="12" customWidth="1"/>
    <col min="2" max="2" width="11.5703125" customWidth="1"/>
    <col min="3" max="3" width="17.85546875" customWidth="1"/>
    <col min="4" max="4" width="11.140625" customWidth="1"/>
    <col min="5" max="5" width="10.85546875" customWidth="1"/>
    <col min="6" max="6" width="14.140625" customWidth="1"/>
    <col min="8" max="8" width="22.42578125" customWidth="1"/>
  </cols>
  <sheetData>
    <row r="2" spans="1:8" x14ac:dyDescent="0.25">
      <c r="A2" s="1" t="s">
        <v>140</v>
      </c>
    </row>
    <row r="4" spans="1:8" ht="45" x14ac:dyDescent="0.25">
      <c r="A4" s="25" t="s">
        <v>141</v>
      </c>
      <c r="B4" s="26" t="s">
        <v>146</v>
      </c>
      <c r="C4" s="26" t="s">
        <v>147</v>
      </c>
      <c r="D4" s="2" t="s">
        <v>148</v>
      </c>
      <c r="E4" s="2" t="s">
        <v>149</v>
      </c>
      <c r="F4" s="2" t="s">
        <v>151</v>
      </c>
      <c r="G4" s="2" t="s">
        <v>150</v>
      </c>
    </row>
    <row r="5" spans="1:8" x14ac:dyDescent="0.25">
      <c r="A5" s="27" t="s">
        <v>89</v>
      </c>
      <c r="B5" s="27">
        <v>1</v>
      </c>
      <c r="C5" s="28">
        <v>200</v>
      </c>
      <c r="D5">
        <v>1</v>
      </c>
      <c r="E5" s="6">
        <f>C5</f>
        <v>200</v>
      </c>
      <c r="F5" s="6">
        <f>E5</f>
        <v>200</v>
      </c>
      <c r="G5" s="5">
        <v>0</v>
      </c>
    </row>
    <row r="6" spans="1:8" x14ac:dyDescent="0.25">
      <c r="A6" s="27" t="s">
        <v>90</v>
      </c>
      <c r="B6" s="27">
        <v>1</v>
      </c>
      <c r="C6" s="28">
        <v>152</v>
      </c>
      <c r="D6">
        <f>+D5+B6</f>
        <v>2</v>
      </c>
      <c r="E6" s="6">
        <f>+E5+C6</f>
        <v>352</v>
      </c>
      <c r="F6" s="5">
        <f>+E6/D6</f>
        <v>176</v>
      </c>
      <c r="G6" s="23">
        <f>F6/F5</f>
        <v>0.88</v>
      </c>
      <c r="H6" t="s">
        <v>152</v>
      </c>
    </row>
    <row r="7" spans="1:8" x14ac:dyDescent="0.25">
      <c r="A7" s="27" t="s">
        <v>142</v>
      </c>
      <c r="B7" s="27">
        <v>2</v>
      </c>
      <c r="C7" s="28">
        <v>267.52</v>
      </c>
      <c r="D7">
        <f t="shared" ref="D7:D10" si="0">+D6+B7</f>
        <v>4</v>
      </c>
      <c r="E7" s="6">
        <f>+E6+C7</f>
        <v>619.52</v>
      </c>
      <c r="F7" s="6">
        <f>E7/D7</f>
        <v>154.88</v>
      </c>
      <c r="G7" s="23">
        <f>+F7/F6</f>
        <v>0.88</v>
      </c>
      <c r="H7" t="s">
        <v>153</v>
      </c>
    </row>
    <row r="8" spans="1:8" x14ac:dyDescent="0.25">
      <c r="A8" s="27" t="s">
        <v>143</v>
      </c>
      <c r="B8" s="27">
        <v>4</v>
      </c>
      <c r="C8" s="28">
        <v>470.8</v>
      </c>
      <c r="D8">
        <f t="shared" si="0"/>
        <v>8</v>
      </c>
      <c r="E8" s="6">
        <f t="shared" ref="E8:E10" si="1">+E7+C8</f>
        <v>1090.32</v>
      </c>
      <c r="F8" s="6">
        <f t="shared" ref="F8:F10" si="2">E8/D8</f>
        <v>136.29</v>
      </c>
      <c r="G8" s="24">
        <f>+F8/F7</f>
        <v>0.87997159090909083</v>
      </c>
      <c r="H8" t="s">
        <v>154</v>
      </c>
    </row>
    <row r="9" spans="1:8" x14ac:dyDescent="0.25">
      <c r="A9" s="27" t="s">
        <v>144</v>
      </c>
      <c r="B9" s="27">
        <v>8</v>
      </c>
      <c r="C9" s="28">
        <v>1090.32</v>
      </c>
      <c r="D9">
        <f t="shared" si="0"/>
        <v>16</v>
      </c>
      <c r="E9" s="6">
        <f t="shared" si="1"/>
        <v>2180.64</v>
      </c>
      <c r="F9" s="6">
        <f t="shared" si="2"/>
        <v>136.29</v>
      </c>
      <c r="G9" s="23">
        <f>+F9/F8</f>
        <v>1</v>
      </c>
    </row>
    <row r="10" spans="1:8" x14ac:dyDescent="0.25">
      <c r="A10" s="27" t="s">
        <v>145</v>
      </c>
      <c r="B10" s="27">
        <v>16</v>
      </c>
      <c r="C10" s="28">
        <v>2180.64</v>
      </c>
      <c r="D10">
        <f t="shared" si="0"/>
        <v>32</v>
      </c>
      <c r="E10" s="6">
        <f t="shared" si="1"/>
        <v>4361.28</v>
      </c>
      <c r="F10" s="6">
        <f t="shared" si="2"/>
        <v>136.29</v>
      </c>
      <c r="G10" s="23">
        <f>+F10/F9</f>
        <v>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K21" sqref="K21"/>
    </sheetView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705111C6CE9A4D9A32EDD3CE4225B6" ma:contentTypeVersion="2" ma:contentTypeDescription="Create a new document." ma:contentTypeScope="" ma:versionID="65a55d3207c9bb9e6d7f68b455286c2a">
  <xsd:schema xmlns:xsd="http://www.w3.org/2001/XMLSchema" xmlns:xs="http://www.w3.org/2001/XMLSchema" xmlns:p="http://schemas.microsoft.com/office/2006/metadata/properties" xmlns:ns2="894abf72-65ba-408b-9569-bc5346983487" targetNamespace="http://schemas.microsoft.com/office/2006/metadata/properties" ma:root="true" ma:fieldsID="82607859529cf660e07889a740458c09" ns2:_="">
    <xsd:import namespace="894abf72-65ba-408b-9569-bc53469834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4abf72-65ba-408b-9569-bc53469834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B50BA3-620E-4D11-92A9-B1346AB5BDC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F6D3C2F-3427-478F-91AA-CCF44C382B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C2AF9B-8173-489C-B05F-026A687671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4abf72-65ba-408b-9569-bc53469834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E1</vt:lpstr>
      <vt:lpstr>E2</vt:lpstr>
      <vt:lpstr>E3</vt:lpstr>
      <vt:lpstr>E4</vt:lpstr>
      <vt:lpstr>Sheet2</vt:lpstr>
      <vt:lpstr>E6</vt:lpstr>
      <vt:lpstr>2020 Dec Q3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Sunanda Abeykoon</dc:creator>
  <cp:lastModifiedBy>HDQ</cp:lastModifiedBy>
  <dcterms:created xsi:type="dcterms:W3CDTF">2021-02-21T06:21:16Z</dcterms:created>
  <dcterms:modified xsi:type="dcterms:W3CDTF">2022-10-04T08:16:51Z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0x01010087705111C6CE9A4D9A32EDD3CE4225B6</vt:lpwstr>
  </property>
</Properties>
</file>